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Bienvenue\OneDrive\Desktop\PAIE BTP 2025\1. BULLETINS DE PAIE COMMENTES\1 A TELECHARGER\"/>
    </mc:Choice>
  </mc:AlternateContent>
  <xr:revisionPtr revIDLastSave="0" documentId="13_ncr:1_{E1298393-2DCA-4811-A24B-6EB23805F54E}" xr6:coauthVersionLast="47" xr6:coauthVersionMax="47" xr10:uidLastSave="{00000000-0000-0000-0000-000000000000}"/>
  <bookViews>
    <workbookView xWindow="-108" yWindow="-108" windowWidth="23256" windowHeight="12456" firstSheet="2" activeTab="2" xr2:uid="{8B49A31E-6618-4C79-97C4-A5B50547524F}"/>
  </bookViews>
  <sheets>
    <sheet name="PRESENTATION DU CLASSEUR " sheetId="113" r:id="rId1"/>
    <sheet name="MASQUE DE SAISIE " sheetId="63" r:id="rId2"/>
    <sheet name="TABLE DES TAUX 2025" sheetId="30" r:id="rId3"/>
    <sheet name=" ENONCE ET CORRIGE " sheetId="91" r:id="rId4"/>
    <sheet name="BP CORRECTION  " sheetId="54" r:id="rId5"/>
    <sheet name="JUSTIFICATION DES BASES " sheetId="83" r:id="rId6"/>
    <sheet name="TAUX NEUTRE " sheetId="72" r:id="rId7"/>
    <sheet name="TAUX NEUTRE  JANVIER " sheetId="71" r:id="rId8"/>
    <sheet name="TAUX NEUTRE MAI " sheetId="70" r:id="rId9"/>
  </sheets>
  <externalReferences>
    <externalReference r:id="rId10"/>
  </externalReferences>
  <definedNames>
    <definedName name="TAUX2023">'[1]TABLE DES TAUX 2025 '!$A$1:$D$57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1" i="54" l="1"/>
  <c r="G31" i="54"/>
  <c r="D140" i="54"/>
  <c r="D139" i="54"/>
  <c r="C9" i="72" l="1"/>
  <c r="C10" i="72"/>
  <c r="C11" i="72"/>
  <c r="C12" i="72"/>
  <c r="C13" i="72"/>
  <c r="C14" i="72"/>
  <c r="C15" i="72"/>
  <c r="C16" i="72"/>
  <c r="C17" i="72"/>
  <c r="C18" i="72"/>
  <c r="C19" i="72"/>
  <c r="C20" i="72"/>
  <c r="C21" i="72"/>
  <c r="C22" i="72"/>
  <c r="C23" i="72"/>
  <c r="C24" i="72"/>
  <c r="C25" i="72"/>
  <c r="C26" i="72"/>
  <c r="C8" i="72"/>
  <c r="D9" i="72"/>
  <c r="D10" i="72"/>
  <c r="D11" i="72"/>
  <c r="D12" i="72"/>
  <c r="D13" i="72"/>
  <c r="D14" i="72"/>
  <c r="D15" i="72"/>
  <c r="D16" i="72"/>
  <c r="D17" i="72"/>
  <c r="D18" i="72"/>
  <c r="D19" i="72"/>
  <c r="D20" i="72"/>
  <c r="D21" i="72"/>
  <c r="D22" i="72"/>
  <c r="D23" i="72"/>
  <c r="D24" i="72"/>
  <c r="D25" i="72"/>
  <c r="D26" i="72"/>
  <c r="D8" i="72"/>
  <c r="G46" i="54"/>
  <c r="I30" i="54"/>
  <c r="G30" i="54"/>
  <c r="E59" i="63"/>
  <c r="C85" i="83"/>
  <c r="O28" i="83" l="1"/>
  <c r="G29" i="54"/>
  <c r="J33" i="54"/>
  <c r="E83" i="91"/>
  <c r="D83" i="91"/>
  <c r="J31" i="54" s="1"/>
  <c r="C83" i="91"/>
  <c r="F107" i="83" l="1"/>
  <c r="E107" i="83"/>
  <c r="E11" i="83"/>
  <c r="E111" i="83"/>
  <c r="E7" i="83"/>
  <c r="L7" i="83" s="1"/>
  <c r="J30" i="54"/>
  <c r="E8" i="83"/>
  <c r="E23" i="83" s="1"/>
  <c r="G5" i="54"/>
  <c r="I29" i="54"/>
  <c r="E158" i="91"/>
  <c r="C84" i="83" l="1"/>
  <c r="O25" i="83"/>
  <c r="E106" i="83"/>
  <c r="G9" i="63"/>
  <c r="J11" i="54"/>
  <c r="E98" i="83" s="1"/>
  <c r="E10" i="83"/>
  <c r="E25" i="83"/>
  <c r="F106" i="83" l="1"/>
  <c r="K106" i="83"/>
  <c r="L106" i="83" s="1"/>
  <c r="E120" i="54"/>
  <c r="H107" i="54"/>
  <c r="C114" i="91"/>
  <c r="E62" i="63" s="1"/>
  <c r="J29" i="54"/>
  <c r="E104" i="83" s="1"/>
  <c r="D158" i="91"/>
  <c r="J106" i="83" l="1"/>
  <c r="O23" i="83"/>
  <c r="E6" i="83"/>
  <c r="L6" i="83" s="1"/>
  <c r="E60" i="63"/>
  <c r="E14" i="83"/>
  <c r="G11" i="54" l="1"/>
  <c r="E69" i="63"/>
  <c r="C116" i="91" s="1"/>
  <c r="C106" i="91"/>
  <c r="J22" i="54" s="1"/>
  <c r="E4" i="83" s="1"/>
  <c r="E64" i="54"/>
  <c r="E32" i="83"/>
  <c r="D137" i="54"/>
  <c r="H13" i="63"/>
  <c r="G13" i="63"/>
  <c r="I19" i="54" l="1"/>
  <c r="I20" i="54"/>
  <c r="H102" i="54"/>
  <c r="C87" i="83"/>
  <c r="N142" i="83"/>
  <c r="C139" i="83"/>
  <c r="B8" i="54" l="1"/>
  <c r="H106" i="54" s="1"/>
  <c r="C79" i="83"/>
  <c r="F101" i="83"/>
  <c r="G101" i="83"/>
  <c r="H101" i="83"/>
  <c r="I101" i="83"/>
  <c r="J101" i="83"/>
  <c r="K101" i="83"/>
  <c r="L101" i="83"/>
  <c r="C131" i="83"/>
  <c r="G19" i="54" l="1"/>
  <c r="C179" i="83" l="1"/>
  <c r="D179" i="83" s="1"/>
  <c r="D138" i="83"/>
  <c r="E138" i="83" s="1"/>
  <c r="F138" i="83" s="1"/>
  <c r="G138" i="83" s="1"/>
  <c r="I138" i="83" s="1"/>
  <c r="J138" i="83" s="1"/>
  <c r="K138" i="83" s="1"/>
  <c r="I11" i="54"/>
  <c r="I16" i="54" s="1"/>
  <c r="H21" i="63"/>
  <c r="J21" i="54" l="1"/>
  <c r="C80" i="83"/>
  <c r="C132" i="83"/>
  <c r="D132" i="83" s="1"/>
  <c r="E132" i="83" s="1"/>
  <c r="F132" i="83" s="1"/>
  <c r="G132" i="83" s="1"/>
  <c r="H132" i="83" s="1"/>
  <c r="I132" i="83" s="1"/>
  <c r="J132" i="83" s="1"/>
  <c r="K132" i="83" s="1"/>
  <c r="L132" i="83" s="1"/>
  <c r="M132" i="83" s="1"/>
  <c r="N132" i="83" s="1"/>
  <c r="C137" i="83"/>
  <c r="D137" i="83" s="1"/>
  <c r="E137" i="83" s="1"/>
  <c r="L138" i="83"/>
  <c r="M138" i="83"/>
  <c r="N138" i="83" s="1"/>
  <c r="C185" i="83" l="1"/>
  <c r="D185" i="83" s="1"/>
  <c r="F137" i="83"/>
  <c r="E3" i="83" l="1"/>
  <c r="C77" i="83"/>
  <c r="G137" i="83"/>
  <c r="I137" i="83" l="1"/>
  <c r="J137" i="83" l="1"/>
  <c r="K137" i="83" l="1"/>
  <c r="L137" i="83" l="1"/>
  <c r="M137" i="83"/>
  <c r="N137" i="83" s="1"/>
  <c r="H74" i="54" l="1"/>
  <c r="J107" i="83" l="1"/>
  <c r="C78" i="83" l="1"/>
  <c r="E99" i="83" s="1"/>
  <c r="C130" i="83"/>
  <c r="J111" i="83"/>
  <c r="K111" i="83" s="1"/>
  <c r="L111" i="83" s="1"/>
  <c r="D139" i="83" l="1"/>
  <c r="E139" i="83" s="1"/>
  <c r="F139" i="83" s="1"/>
  <c r="G139" i="83" s="1"/>
  <c r="I139" i="83" s="1"/>
  <c r="J139" i="83" s="1"/>
  <c r="K139" i="83" s="1"/>
  <c r="M139" i="83" s="1"/>
  <c r="N139" i="83" s="1"/>
  <c r="C187" i="83"/>
  <c r="D187" i="83" s="1"/>
  <c r="E187" i="83" s="1"/>
  <c r="F111" i="83"/>
  <c r="L139" i="83" l="1"/>
  <c r="G74" i="54" l="1"/>
  <c r="B10" i="72"/>
  <c r="B11" i="72"/>
  <c r="B12" i="72"/>
  <c r="B13" i="72"/>
  <c r="B14" i="72"/>
  <c r="B15" i="72"/>
  <c r="B16" i="72"/>
  <c r="B17" i="72"/>
  <c r="B18" i="72"/>
  <c r="B19" i="72"/>
  <c r="B20" i="72"/>
  <c r="B21" i="72"/>
  <c r="B22" i="72"/>
  <c r="B23" i="72"/>
  <c r="B24" i="72"/>
  <c r="B25" i="72"/>
  <c r="E50" i="70"/>
  <c r="E49" i="70"/>
  <c r="E48" i="70"/>
  <c r="E47" i="70"/>
  <c r="E46" i="70"/>
  <c r="E45" i="70"/>
  <c r="E44" i="70"/>
  <c r="E43" i="70"/>
  <c r="E42" i="70"/>
  <c r="E41" i="70"/>
  <c r="E40" i="70"/>
  <c r="E39" i="70"/>
  <c r="E38" i="70"/>
  <c r="E37" i="70"/>
  <c r="E36" i="70"/>
  <c r="E35" i="70"/>
  <c r="E34" i="70"/>
  <c r="E33" i="70"/>
  <c r="E32" i="70"/>
  <c r="E31" i="70"/>
  <c r="E51" i="70" s="1"/>
  <c r="B26" i="70"/>
  <c r="B25" i="70"/>
  <c r="B24" i="70"/>
  <c r="B23" i="70"/>
  <c r="B22" i="70"/>
  <c r="B21" i="70"/>
  <c r="B20" i="70"/>
  <c r="B19" i="70"/>
  <c r="B18" i="70"/>
  <c r="B17" i="70"/>
  <c r="B16" i="70"/>
  <c r="B15" i="70"/>
  <c r="B14" i="70"/>
  <c r="B13" i="70"/>
  <c r="B12" i="70"/>
  <c r="B11" i="70"/>
  <c r="B10" i="70"/>
  <c r="B9" i="70"/>
  <c r="B8" i="70"/>
  <c r="B50" i="71"/>
  <c r="E50" i="71" s="1"/>
  <c r="B49" i="71"/>
  <c r="E49" i="71" s="1"/>
  <c r="B48" i="71"/>
  <c r="E48" i="71" s="1"/>
  <c r="E47" i="71"/>
  <c r="B47" i="71"/>
  <c r="B46" i="71"/>
  <c r="E46" i="71" s="1"/>
  <c r="B45" i="71"/>
  <c r="E45" i="71" s="1"/>
  <c r="B44" i="71"/>
  <c r="E44" i="71" s="1"/>
  <c r="E43" i="71"/>
  <c r="B43" i="71"/>
  <c r="B42" i="71"/>
  <c r="E42" i="71" s="1"/>
  <c r="E41" i="71"/>
  <c r="B41" i="71"/>
  <c r="B40" i="71"/>
  <c r="E40" i="71" s="1"/>
  <c r="E39" i="71"/>
  <c r="B39" i="71"/>
  <c r="B38" i="71"/>
  <c r="E38" i="71" s="1"/>
  <c r="E37" i="71"/>
  <c r="B37" i="71"/>
  <c r="B36" i="71"/>
  <c r="E36" i="71" s="1"/>
  <c r="E35" i="71"/>
  <c r="B35" i="71"/>
  <c r="B34" i="71"/>
  <c r="E34" i="71" s="1"/>
  <c r="E33" i="71"/>
  <c r="B33" i="71"/>
  <c r="B32" i="71"/>
  <c r="E32" i="71" s="1"/>
  <c r="E31" i="71"/>
  <c r="B26" i="71"/>
  <c r="B25" i="71"/>
  <c r="B24" i="71"/>
  <c r="B23" i="71"/>
  <c r="B22" i="71"/>
  <c r="B21" i="71"/>
  <c r="B20" i="71"/>
  <c r="B19" i="71"/>
  <c r="B18" i="71"/>
  <c r="B17" i="71"/>
  <c r="B16" i="71"/>
  <c r="B15" i="71"/>
  <c r="B14" i="71"/>
  <c r="B13" i="71"/>
  <c r="B12" i="71"/>
  <c r="B11" i="71"/>
  <c r="B10" i="71"/>
  <c r="B9" i="71"/>
  <c r="B8" i="71"/>
  <c r="E50" i="72"/>
  <c r="B50" i="72"/>
  <c r="B49" i="72"/>
  <c r="E49" i="72" s="1"/>
  <c r="B48" i="72"/>
  <c r="E48" i="72" s="1"/>
  <c r="E47" i="72"/>
  <c r="B47" i="72"/>
  <c r="E46" i="72"/>
  <c r="B46" i="72"/>
  <c r="E45" i="72"/>
  <c r="B45" i="72"/>
  <c r="B44" i="72"/>
  <c r="E44" i="72" s="1"/>
  <c r="E43" i="72"/>
  <c r="B43" i="72"/>
  <c r="E42" i="72"/>
  <c r="B42" i="72"/>
  <c r="E41" i="72"/>
  <c r="B41" i="72"/>
  <c r="B40" i="72"/>
  <c r="E40" i="72" s="1"/>
  <c r="E39" i="72"/>
  <c r="B39" i="72"/>
  <c r="E38" i="72"/>
  <c r="B38" i="72"/>
  <c r="E37" i="72"/>
  <c r="B37" i="72"/>
  <c r="B36" i="72"/>
  <c r="E36" i="72" s="1"/>
  <c r="E35" i="72"/>
  <c r="B35" i="72"/>
  <c r="E34" i="72"/>
  <c r="B34" i="72"/>
  <c r="E33" i="72"/>
  <c r="B33" i="72"/>
  <c r="B32" i="72"/>
  <c r="E32" i="72" s="1"/>
  <c r="E31" i="72"/>
  <c r="E121" i="54"/>
  <c r="H41" i="54"/>
  <c r="H40" i="54"/>
  <c r="G40" i="54"/>
  <c r="E40" i="54"/>
  <c r="D130" i="83" l="1"/>
  <c r="E130" i="83" s="1"/>
  <c r="F130" i="83" s="1"/>
  <c r="G130" i="83" s="1"/>
  <c r="I130" i="83" s="1"/>
  <c r="J130" i="83" s="1"/>
  <c r="K130" i="83" s="1"/>
  <c r="M130" i="83" s="1"/>
  <c r="N130" i="83" s="1"/>
  <c r="C178" i="83"/>
  <c r="D178" i="83" s="1"/>
  <c r="E178" i="83" s="1"/>
  <c r="F178" i="83" s="1"/>
  <c r="G178" i="83" s="1"/>
  <c r="O20" i="83"/>
  <c r="O21" i="83"/>
  <c r="J99" i="83"/>
  <c r="F102" i="83"/>
  <c r="K102" i="83"/>
  <c r="L102" i="83" s="1"/>
  <c r="J102" i="83"/>
  <c r="E51" i="71"/>
  <c r="E51" i="72"/>
  <c r="L130" i="83" l="1"/>
  <c r="D131" i="83"/>
  <c r="E131" i="83" s="1"/>
  <c r="F131" i="83" s="1"/>
  <c r="G131" i="83" s="1"/>
  <c r="I131" i="83" s="1"/>
  <c r="J131" i="83" s="1"/>
  <c r="K131" i="83" s="1"/>
  <c r="M131" i="83" s="1"/>
  <c r="N131" i="83" s="1"/>
  <c r="C180" i="83"/>
  <c r="D180" i="83" s="1"/>
  <c r="E180" i="83" s="1"/>
  <c r="F180" i="83" s="1"/>
  <c r="G180" i="83" s="1"/>
  <c r="K99" i="83"/>
  <c r="L99" i="83" s="1"/>
  <c r="F99" i="83"/>
  <c r="G99" i="83" s="1"/>
  <c r="H99" i="83" s="1"/>
  <c r="I99" i="83"/>
  <c r="E147" i="63"/>
  <c r="E148" i="63"/>
  <c r="B26" i="72"/>
  <c r="L131" i="83" l="1"/>
  <c r="C35" i="54"/>
  <c r="C139" i="54" s="1"/>
  <c r="C140" i="54" s="1"/>
  <c r="G20" i="54"/>
  <c r="J20" i="54" s="1"/>
  <c r="G18" i="54"/>
  <c r="G16" i="54"/>
  <c r="E68" i="63"/>
  <c r="C83" i="83"/>
  <c r="B10" i="54"/>
  <c r="D9" i="54"/>
  <c r="G10" i="54"/>
  <c r="J9" i="54"/>
  <c r="H9" i="54"/>
  <c r="E55" i="63"/>
  <c r="G7" i="54"/>
  <c r="J6" i="54"/>
  <c r="H6" i="54"/>
  <c r="J5" i="54"/>
  <c r="G8" i="54"/>
  <c r="G4" i="54"/>
  <c r="G3" i="54"/>
  <c r="B6" i="54"/>
  <c r="B4" i="54"/>
  <c r="B3" i="54"/>
  <c r="E141" i="63"/>
  <c r="F141" i="63" s="1"/>
  <c r="E140" i="63"/>
  <c r="F140" i="63" s="1"/>
  <c r="E119" i="54" l="1"/>
  <c r="H51" i="54"/>
  <c r="B42" i="83"/>
  <c r="E2" i="83"/>
  <c r="L2" i="83" s="1"/>
  <c r="C136" i="83"/>
  <c r="C82" i="83"/>
  <c r="C134" i="83" s="1"/>
  <c r="C182" i="83" s="1"/>
  <c r="D182" i="83" s="1"/>
  <c r="C7" i="72"/>
  <c r="B8" i="72" s="1"/>
  <c r="B9" i="72"/>
  <c r="O19" i="83" l="1"/>
  <c r="C46" i="83"/>
  <c r="D163" i="83" s="1"/>
  <c r="D136" i="83"/>
  <c r="E136" i="83" s="1"/>
  <c r="F136" i="83" s="1"/>
  <c r="G136" i="83" s="1"/>
  <c r="I136" i="83" s="1"/>
  <c r="J136" i="83" s="1"/>
  <c r="K136" i="83" s="1"/>
  <c r="L136" i="83" s="1"/>
  <c r="C184" i="83"/>
  <c r="D184" i="83" s="1"/>
  <c r="C76" i="83"/>
  <c r="J98" i="83" s="1"/>
  <c r="D134" i="83"/>
  <c r="E134" i="83" s="1"/>
  <c r="F134" i="83" s="1"/>
  <c r="G134" i="83" s="1"/>
  <c r="I134" i="83" s="1"/>
  <c r="J134" i="83" s="1"/>
  <c r="K134" i="83" s="1"/>
  <c r="K104" i="83"/>
  <c r="C135" i="83"/>
  <c r="H49" i="54"/>
  <c r="H39" i="54"/>
  <c r="D129" i="54"/>
  <c r="E118" i="54"/>
  <c r="H105" i="54"/>
  <c r="H101" i="54"/>
  <c r="H100" i="54"/>
  <c r="I70" i="54"/>
  <c r="J69" i="54"/>
  <c r="G69" i="54"/>
  <c r="I69" i="54" s="1"/>
  <c r="G68" i="54"/>
  <c r="G67" i="54"/>
  <c r="G66" i="54"/>
  <c r="G65" i="54"/>
  <c r="J53" i="54"/>
  <c r="H48" i="54"/>
  <c r="J47" i="54"/>
  <c r="H46" i="54"/>
  <c r="D94" i="54"/>
  <c r="H44" i="54"/>
  <c r="G44" i="54"/>
  <c r="D92" i="54" s="1"/>
  <c r="H43" i="54"/>
  <c r="G43" i="54"/>
  <c r="D91" i="54" s="1"/>
  <c r="H38" i="54"/>
  <c r="J18" i="54"/>
  <c r="J16" i="54"/>
  <c r="J19" i="54"/>
  <c r="O29" i="83" l="1"/>
  <c r="O31" i="83" s="1"/>
  <c r="E71" i="54"/>
  <c r="E103" i="83"/>
  <c r="M136" i="83"/>
  <c r="N136" i="83" s="1"/>
  <c r="D135" i="83"/>
  <c r="E135" i="83" s="1"/>
  <c r="F135" i="83" s="1"/>
  <c r="G135" i="83" s="1"/>
  <c r="I135" i="83" s="1"/>
  <c r="J135" i="83" s="1"/>
  <c r="K135" i="83" s="1"/>
  <c r="M135" i="83" s="1"/>
  <c r="N135" i="83" s="1"/>
  <c r="C183" i="83"/>
  <c r="D183" i="83" s="1"/>
  <c r="G98" i="83"/>
  <c r="C129" i="83"/>
  <c r="C177" i="83" s="1"/>
  <c r="D177" i="83" s="1"/>
  <c r="H98" i="83"/>
  <c r="K98" i="83"/>
  <c r="L98" i="83" s="1"/>
  <c r="F98" i="83"/>
  <c r="J105" i="83"/>
  <c r="F105" i="83"/>
  <c r="M134" i="83"/>
  <c r="N134" i="83" s="1"/>
  <c r="L134" i="83"/>
  <c r="L104" i="83"/>
  <c r="F104" i="83"/>
  <c r="J104" i="83"/>
  <c r="J40" i="54"/>
  <c r="I17" i="54"/>
  <c r="J17" i="54" s="1"/>
  <c r="F37" i="83" s="1"/>
  <c r="I40" i="54"/>
  <c r="E117" i="54"/>
  <c r="E5" i="83" l="1"/>
  <c r="L5" i="83" s="1"/>
  <c r="K117" i="83"/>
  <c r="L117" i="83" s="1"/>
  <c r="O34" i="83"/>
  <c r="E34" i="83"/>
  <c r="L135" i="83"/>
  <c r="E177" i="83"/>
  <c r="D129" i="83"/>
  <c r="I98" i="83"/>
  <c r="J34" i="54"/>
  <c r="J35" i="54" s="1"/>
  <c r="E100" i="54" s="1"/>
  <c r="E123" i="54" l="1"/>
  <c r="G45" i="54"/>
  <c r="H45" i="54"/>
  <c r="E21" i="83"/>
  <c r="E12" i="83"/>
  <c r="C81" i="83"/>
  <c r="C133" i="83" s="1"/>
  <c r="B9" i="54"/>
  <c r="E122" i="54" s="1"/>
  <c r="C129" i="54" s="1"/>
  <c r="E129" i="54" s="1"/>
  <c r="C88" i="83"/>
  <c r="E55" i="54"/>
  <c r="E57" i="54" s="1"/>
  <c r="E110" i="54"/>
  <c r="I110" i="54" s="1"/>
  <c r="E101" i="54"/>
  <c r="I101" i="54" s="1"/>
  <c r="E54" i="54"/>
  <c r="F177" i="83"/>
  <c r="E129" i="83"/>
  <c r="F139" i="54" l="1"/>
  <c r="F140" i="54" s="1"/>
  <c r="G103" i="83"/>
  <c r="H103" i="83"/>
  <c r="I103" i="83" s="1"/>
  <c r="N129" i="83"/>
  <c r="E61" i="83"/>
  <c r="J54" i="54"/>
  <c r="I54" i="54"/>
  <c r="E62" i="83"/>
  <c r="J55" i="54"/>
  <c r="I55" i="54"/>
  <c r="E102" i="54"/>
  <c r="C89" i="83"/>
  <c r="J113" i="83"/>
  <c r="D133" i="83"/>
  <c r="C181" i="83"/>
  <c r="D181" i="83" s="1"/>
  <c r="C140" i="83"/>
  <c r="G177" i="83"/>
  <c r="F129" i="83"/>
  <c r="E39" i="54"/>
  <c r="E49" i="54"/>
  <c r="E103" i="54"/>
  <c r="E107" i="54"/>
  <c r="E46" i="54"/>
  <c r="E38" i="54"/>
  <c r="B156" i="83" s="1"/>
  <c r="E106" i="54"/>
  <c r="E51" i="54"/>
  <c r="E105" i="54"/>
  <c r="E43" i="54"/>
  <c r="E41" i="54"/>
  <c r="E44" i="54"/>
  <c r="E92" i="54" s="1"/>
  <c r="E74" i="54"/>
  <c r="O35" i="83" l="1"/>
  <c r="K118" i="83" s="1"/>
  <c r="L118" i="83" s="1"/>
  <c r="E33" i="83"/>
  <c r="M103" i="83"/>
  <c r="F103" i="83"/>
  <c r="J103" i="83"/>
  <c r="E104" i="54"/>
  <c r="I104" i="54" s="1"/>
  <c r="H145" i="83"/>
  <c r="J115" i="83"/>
  <c r="J120" i="83" s="1"/>
  <c r="E63" i="54" s="1"/>
  <c r="I102" i="54"/>
  <c r="I108" i="54"/>
  <c r="E63" i="83"/>
  <c r="I56" i="54"/>
  <c r="J56" i="54"/>
  <c r="E181" i="83"/>
  <c r="D188" i="83"/>
  <c r="C141" i="83"/>
  <c r="C188" i="83"/>
  <c r="C189" i="83" s="1"/>
  <c r="E133" i="83"/>
  <c r="D140" i="83"/>
  <c r="D141" i="83" s="1"/>
  <c r="D143" i="83" s="1"/>
  <c r="G129" i="83"/>
  <c r="B157" i="83"/>
  <c r="D157" i="83" s="1"/>
  <c r="D156" i="83"/>
  <c r="E70" i="83"/>
  <c r="J41" i="54"/>
  <c r="J39" i="54"/>
  <c r="B129" i="54"/>
  <c r="F129" i="54" s="1"/>
  <c r="G129" i="54" s="1"/>
  <c r="H129" i="54" s="1"/>
  <c r="I103" i="54"/>
  <c r="I100" i="54"/>
  <c r="I106" i="54"/>
  <c r="J51" i="54"/>
  <c r="I105" i="54"/>
  <c r="J49" i="54"/>
  <c r="I107" i="54"/>
  <c r="N103" i="83" l="1"/>
  <c r="M119" i="83"/>
  <c r="M120" i="83" s="1"/>
  <c r="J63" i="54"/>
  <c r="E109" i="54"/>
  <c r="I109" i="54" s="1"/>
  <c r="I111" i="54" s="1"/>
  <c r="E69" i="83"/>
  <c r="J57" i="54"/>
  <c r="E64" i="83"/>
  <c r="I57" i="54"/>
  <c r="F133" i="83"/>
  <c r="E140" i="83"/>
  <c r="E141" i="83" s="1"/>
  <c r="E143" i="83" s="1"/>
  <c r="F181" i="83"/>
  <c r="E188" i="83"/>
  <c r="I129" i="83"/>
  <c r="D158" i="83"/>
  <c r="I129" i="54"/>
  <c r="J129" i="54" s="1"/>
  <c r="J47" i="83" s="1"/>
  <c r="C45" i="83" s="1"/>
  <c r="J43" i="54"/>
  <c r="I43" i="54"/>
  <c r="E45" i="54"/>
  <c r="E91" i="54"/>
  <c r="F91" i="54" s="1"/>
  <c r="J64" i="54"/>
  <c r="J74" i="54"/>
  <c r="O36" i="83" s="1"/>
  <c r="E65" i="54" s="1"/>
  <c r="E66" i="54" s="1"/>
  <c r="I74" i="54"/>
  <c r="E48" i="54"/>
  <c r="J48" i="54" s="1"/>
  <c r="J38" i="54"/>
  <c r="J46" i="54"/>
  <c r="I46" i="54"/>
  <c r="E94" i="54"/>
  <c r="F94" i="54" s="1"/>
  <c r="J44" i="54"/>
  <c r="F92" i="54"/>
  <c r="I44" i="54"/>
  <c r="C47" i="83" l="1"/>
  <c r="J70" i="54" s="1"/>
  <c r="D160" i="83" s="1"/>
  <c r="D162" i="83" s="1"/>
  <c r="D164" i="83" s="1"/>
  <c r="I86" i="54" s="1"/>
  <c r="E67" i="54"/>
  <c r="E73" i="83" s="1"/>
  <c r="N119" i="83"/>
  <c r="N120" i="83" s="1"/>
  <c r="G181" i="83"/>
  <c r="G188" i="83" s="1"/>
  <c r="F188" i="83"/>
  <c r="G133" i="83"/>
  <c r="F140" i="83"/>
  <c r="F141" i="83" s="1"/>
  <c r="F143" i="83" s="1"/>
  <c r="J129" i="83"/>
  <c r="K129" i="83" s="1"/>
  <c r="E93" i="54"/>
  <c r="J45" i="54"/>
  <c r="D93" i="54"/>
  <c r="J52" i="54"/>
  <c r="J67" i="54" l="1"/>
  <c r="I67" i="54"/>
  <c r="E29" i="83" s="1"/>
  <c r="E68" i="54"/>
  <c r="I68" i="54" s="1"/>
  <c r="E31" i="83" s="1"/>
  <c r="L129" i="83"/>
  <c r="M129" i="83"/>
  <c r="I133" i="83"/>
  <c r="G140" i="83"/>
  <c r="G141" i="83" s="1"/>
  <c r="G144" i="83" s="1"/>
  <c r="I144" i="83" s="1"/>
  <c r="F93" i="54"/>
  <c r="F95" i="54" s="1"/>
  <c r="F96" i="54" s="1"/>
  <c r="G71" i="54" s="1"/>
  <c r="I71" i="54" s="1"/>
  <c r="I45" i="54"/>
  <c r="I85" i="54" l="1"/>
  <c r="F38" i="83"/>
  <c r="F39" i="83" s="1"/>
  <c r="J68" i="54"/>
  <c r="E74" i="83"/>
  <c r="J133" i="83"/>
  <c r="I140" i="83"/>
  <c r="I141" i="83" s="1"/>
  <c r="K133" i="83" l="1"/>
  <c r="J140" i="83"/>
  <c r="J141" i="83" s="1"/>
  <c r="J143" i="83" s="1"/>
  <c r="M133" i="83" l="1"/>
  <c r="L133" i="83"/>
  <c r="L140" i="83" s="1"/>
  <c r="L141" i="83" s="1"/>
  <c r="L143" i="83" s="1"/>
  <c r="K140" i="83"/>
  <c r="K141" i="83" s="1"/>
  <c r="K146" i="83" s="1"/>
  <c r="M140" i="83" l="1"/>
  <c r="N133" i="83"/>
  <c r="E78" i="30"/>
  <c r="D78" i="30"/>
  <c r="E72" i="30"/>
  <c r="D72" i="30"/>
  <c r="C72" i="30"/>
  <c r="B72" i="30"/>
  <c r="D64" i="30"/>
  <c r="D62" i="30"/>
  <c r="C61" i="30"/>
  <c r="F59" i="30"/>
  <c r="C59" i="30"/>
  <c r="F58" i="30"/>
  <c r="C58" i="30"/>
  <c r="C57" i="30"/>
  <c r="C56" i="30"/>
  <c r="D34" i="30"/>
  <c r="D33" i="30"/>
  <c r="M141" i="83" l="1"/>
  <c r="N140" i="83"/>
  <c r="M143" i="83" l="1"/>
  <c r="N143" i="83" s="1"/>
  <c r="N141" i="83"/>
  <c r="D189" i="83"/>
  <c r="E112" i="83" l="1"/>
  <c r="G100" i="83"/>
  <c r="I100" i="83" s="1"/>
  <c r="F100" i="83"/>
  <c r="H100" i="83" s="1"/>
  <c r="G120" i="83" l="1"/>
  <c r="E60" i="54" s="1"/>
  <c r="J60" i="54" s="1"/>
  <c r="E113" i="83"/>
  <c r="F112" i="83"/>
  <c r="H120" i="83"/>
  <c r="E61" i="54" s="1"/>
  <c r="J100" i="83"/>
  <c r="I112" i="83"/>
  <c r="I114" i="83" s="1"/>
  <c r="K100" i="83"/>
  <c r="K112" i="83" s="1"/>
  <c r="E66" i="83" l="1"/>
  <c r="F113" i="83"/>
  <c r="E58" i="54"/>
  <c r="J58" i="54" s="1"/>
  <c r="E120" i="83"/>
  <c r="I120" i="83"/>
  <c r="E62" i="54" s="1"/>
  <c r="J61" i="54"/>
  <c r="E67" i="83"/>
  <c r="K116" i="83"/>
  <c r="L112" i="83"/>
  <c r="L100" i="83"/>
  <c r="J112" i="83"/>
  <c r="F120" i="83" l="1"/>
  <c r="E59" i="54" s="1"/>
  <c r="J59" i="54" s="1"/>
  <c r="E68" i="83"/>
  <c r="J62" i="54"/>
  <c r="K120" i="83"/>
  <c r="L116" i="83"/>
  <c r="L120" i="83" l="1"/>
  <c r="E71" i="83" l="1"/>
  <c r="I65" i="54"/>
  <c r="J65" i="54"/>
  <c r="E72" i="83" l="1"/>
  <c r="I66" i="54"/>
  <c r="E27" i="83" s="1"/>
  <c r="J66" i="54"/>
  <c r="J75" i="54" s="1"/>
  <c r="I75" i="54" l="1"/>
  <c r="L3" i="83" s="1"/>
  <c r="L8" i="83" s="1"/>
  <c r="I78" i="54" s="1"/>
  <c r="I139" i="54"/>
  <c r="I140" i="54" s="1"/>
  <c r="G139" i="54"/>
  <c r="G140" i="54" s="1"/>
  <c r="I80" i="54" l="1"/>
  <c r="H139" i="54"/>
  <c r="H140" i="54" s="1"/>
  <c r="E15" i="83"/>
  <c r="E16" i="83" l="1"/>
  <c r="E20" i="83" s="1"/>
  <c r="E35" i="83" s="1"/>
  <c r="I81" i="54" s="1"/>
  <c r="E83" i="54" s="1"/>
  <c r="H11" i="71" s="1"/>
  <c r="E9" i="71" s="1"/>
  <c r="E23" i="71" l="1"/>
  <c r="E24" i="71"/>
  <c r="E22" i="71"/>
  <c r="E13" i="71"/>
  <c r="E8" i="71"/>
  <c r="E17" i="71"/>
  <c r="E18" i="71"/>
  <c r="E21" i="71"/>
  <c r="E25" i="71"/>
  <c r="E7" i="71"/>
  <c r="E26" i="71"/>
  <c r="E19" i="71"/>
  <c r="E20" i="71"/>
  <c r="E15" i="71"/>
  <c r="H11" i="70"/>
  <c r="E10" i="70" s="1"/>
  <c r="E16" i="71"/>
  <c r="E14" i="71"/>
  <c r="E12" i="71"/>
  <c r="E11" i="71"/>
  <c r="E10" i="71"/>
  <c r="H11" i="72"/>
  <c r="E13" i="70" l="1"/>
  <c r="E17" i="70"/>
  <c r="E15" i="70"/>
  <c r="E14" i="70"/>
  <c r="E8" i="70"/>
  <c r="E22" i="70"/>
  <c r="E11" i="70"/>
  <c r="E12" i="70"/>
  <c r="E16" i="70"/>
  <c r="E7" i="70"/>
  <c r="E24" i="70"/>
  <c r="E26" i="70"/>
  <c r="E23" i="70"/>
  <c r="E9" i="70"/>
  <c r="E25" i="70"/>
  <c r="E21" i="70"/>
  <c r="E27" i="71"/>
  <c r="H12" i="71" s="1"/>
  <c r="E20" i="70"/>
  <c r="E18" i="70"/>
  <c r="E19" i="70"/>
  <c r="E8" i="72"/>
  <c r="E12" i="72"/>
  <c r="E14" i="72"/>
  <c r="E25" i="72"/>
  <c r="E18" i="72"/>
  <c r="E20" i="72"/>
  <c r="E24" i="72"/>
  <c r="E21" i="72"/>
  <c r="E15" i="72"/>
  <c r="E7" i="72"/>
  <c r="E16" i="72"/>
  <c r="E22" i="72"/>
  <c r="E9" i="72"/>
  <c r="E17" i="72"/>
  <c r="E11" i="72"/>
  <c r="E19" i="72"/>
  <c r="E10" i="72"/>
  <c r="E26" i="72"/>
  <c r="E23" i="72"/>
  <c r="E13" i="72"/>
  <c r="E27" i="70" l="1"/>
  <c r="H12" i="70" s="1"/>
  <c r="E27" i="72"/>
  <c r="H12" i="72" s="1"/>
  <c r="G83" i="54" s="1"/>
  <c r="I83" i="54" s="1"/>
  <c r="I84" i="5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9CC1C87-5527-486A-A3BF-8A8C22831213}">
      <text>
        <r>
          <rPr>
            <sz val="9"/>
            <color indexed="81"/>
            <rFont val="Tahoma"/>
            <family val="2"/>
          </rPr>
          <t xml:space="preserve">Les infos que vous retrouvez à ce niveau sont répercutées automatiquement dans le BP 
</t>
        </r>
      </text>
    </comment>
    <comment ref="H20" authorId="0" shapeId="0" xr:uid="{A61243A8-0CE1-4C28-80A4-F46F46516013}">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7CBF9493-F3C3-4F06-A605-5EA9FF2F9F1F}">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4" authorId="0" shapeId="0" xr:uid="{000468C8-5406-4F60-B6E2-12E5EFC6D541}">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E69" authorId="0" shapeId="0" xr:uid="{311AB760-A275-462A-A178-FDB239EF3FB5}">
      <text>
        <r>
          <rPr>
            <sz val="9"/>
            <color indexed="81"/>
            <rFont val="Tahoma"/>
            <family val="2"/>
          </rPr>
          <t>Permet en particulier de déterminer les limites de 2,25SMIC et 3,3 SMIC  et 1,6 SMIC applicables</t>
        </r>
      </text>
    </comment>
    <comment ref="F69" authorId="0" shapeId="0" xr:uid="{916CEDBC-294A-40AC-A52A-1180A76BC8A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70" authorId="0" shapeId="0" xr:uid="{89D973B2-6F5F-4560-804A-50E77AA65B63}">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4" authorId="0" shapeId="0" xr:uid="{0C124289-B7ED-41F9-BC10-B114D712F8BA}">
      <text>
        <r>
          <rPr>
            <sz val="9"/>
            <color indexed="81"/>
            <rFont val="Tahoma"/>
            <family val="2"/>
          </rPr>
          <t xml:space="preserve">
</t>
        </r>
        <r>
          <rPr>
            <sz val="8"/>
            <color indexed="81"/>
            <rFont val="Times New Roman"/>
            <family val="1"/>
          </rPr>
          <t xml:space="preserve">(En plus des 7 % si Salaire Brut &gt; 2,2
5 SMIC </t>
        </r>
      </text>
    </comment>
    <comment ref="C4" authorId="0" shapeId="0" xr:uid="{5D1C84FB-18E2-4163-A366-3F93B6BE5876}">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A5" authorId="0" shapeId="0" xr:uid="{599AB5CA-23E5-4AC1-BD0F-661F4DEAC03D}">
      <text>
        <r>
          <rPr>
            <sz val="9"/>
            <color indexed="81"/>
            <rFont val="Tahoma"/>
            <family val="2"/>
          </rPr>
          <t xml:space="preserve">Taux propre à chaque entreprise 
</t>
        </r>
      </text>
    </comment>
    <comment ref="A6" authorId="0" shapeId="0" xr:uid="{4F9097D5-7DDB-416B-94CF-A6175093DF28}">
      <text>
        <r>
          <rPr>
            <sz val="9"/>
            <color indexed="81"/>
            <rFont val="Tahoma"/>
            <family val="2"/>
          </rPr>
          <t xml:space="preserve">Taux propre à chaque entreprise
</t>
        </r>
      </text>
    </comment>
    <comment ref="A8" authorId="0" shapeId="0" xr:uid="{A34D7B9A-51FE-4575-8AA0-2C11574A3F30}">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26AAF096-7393-4F31-9E20-A17E231E9B22}">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A26" authorId="0" shapeId="0" xr:uid="{38C3E8F1-3273-4ADD-A999-094554AAF971}">
      <text>
        <r>
          <rPr>
            <b/>
            <sz val="9"/>
            <color indexed="81"/>
            <rFont val="Tahoma"/>
            <family val="2"/>
          </rPr>
          <t xml:space="preserve"> </t>
        </r>
        <r>
          <rPr>
            <sz val="9"/>
            <color indexed="81"/>
            <rFont val="Tahoma"/>
            <family val="2"/>
          </rPr>
          <t xml:space="preserve">Effectif salariés &lt; 50 </t>
        </r>
      </text>
    </comment>
    <comment ref="A27" authorId="0" shapeId="0" xr:uid="{4F532CA2-42C2-4A94-89B2-DF577DE6ABF2}">
      <text>
        <r>
          <rPr>
            <sz val="9"/>
            <color indexed="81"/>
            <rFont val="Tahoma"/>
            <family val="2"/>
          </rPr>
          <t xml:space="preserve">
Effectif salariés &gt; = 50</t>
        </r>
      </text>
    </comment>
    <comment ref="A28" authorId="0" shapeId="0" xr:uid="{592CB070-A840-4C8A-B28C-FCC29F0218EA}">
      <text>
        <r>
          <rPr>
            <sz val="9"/>
            <color indexed="81"/>
            <rFont val="Tahoma"/>
            <family val="2"/>
          </rPr>
          <t xml:space="preserve">(Taux Variable) Applicable Si Effectif salariés &gt;= 11
</t>
        </r>
      </text>
    </comment>
    <comment ref="D28" authorId="0" shapeId="0" xr:uid="{541282B6-71FF-457B-A23D-E07357FD3963}">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0759C81C-1D0F-46ED-9F56-F5D8DC639D70}">
      <text>
        <r>
          <rPr>
            <b/>
            <sz val="9"/>
            <color indexed="81"/>
            <rFont val="Tahoma"/>
            <family val="2"/>
          </rPr>
          <t xml:space="preserve"> </t>
        </r>
        <r>
          <rPr>
            <sz val="9"/>
            <color indexed="81"/>
            <rFont val="Tahoma"/>
            <family val="2"/>
          </rPr>
          <t>Si Effectif salariés &gt;= 11)</t>
        </r>
      </text>
    </comment>
    <comment ref="A33" authorId="0" shapeId="0" xr:uid="{CA49158F-1B18-4439-8259-9243CAE67716}">
      <text>
        <r>
          <rPr>
            <sz val="9"/>
            <color indexed="81"/>
            <rFont val="Tahoma"/>
            <family val="2"/>
          </rPr>
          <t>(Si Effectifs salariés &gt; = 11 )</t>
        </r>
      </text>
    </comment>
    <comment ref="A34" authorId="0" shapeId="0" xr:uid="{85DD62F1-F157-4E0E-BF52-681A0744240B}">
      <text>
        <r>
          <rPr>
            <sz val="9"/>
            <color indexed="81"/>
            <rFont val="Tahoma"/>
            <family val="2"/>
          </rPr>
          <t xml:space="preserve">(Si Effectifs salariés &lt; 11 )
</t>
        </r>
      </text>
    </comment>
    <comment ref="A35" authorId="0" shapeId="0" xr:uid="{C6714301-264C-4809-B9FA-CB50C7574B26}">
      <text>
        <r>
          <rPr>
            <b/>
            <sz val="9"/>
            <color indexed="81"/>
            <rFont val="Tahoma"/>
            <family val="2"/>
          </rPr>
          <t xml:space="preserve"> 
</t>
        </r>
        <r>
          <rPr>
            <sz val="9"/>
            <color indexed="81"/>
            <rFont val="Tahoma"/>
            <family val="2"/>
          </rPr>
          <t xml:space="preserve">Si Effectifs Salariés &gt;=50 salariés (1)
</t>
        </r>
      </text>
    </comment>
    <comment ref="C61" authorId="0" shapeId="0" xr:uid="{EC6FAC08-E704-4C84-BD22-CF9AA16E6124}">
      <text>
        <r>
          <rPr>
            <sz val="9"/>
            <color indexed="81"/>
            <rFont val="Tahoma"/>
            <family val="2"/>
          </rPr>
          <t>Suivant que la date de début de période de paie est antérieure au 01/05/2025 ou à compter de cette date le coefficient est différent - par ailleurs ce coefficient différe suivant les effectifs de l'entreprise ( moins de 50 salariés ou 50 et plus de 50 salariés). Cellule paramétrée sur la date de début de période de paie sur la feuille TRAME DU BP et sur les effectifs (Cellules H9 et B</t>
        </r>
        <r>
          <rPr>
            <b/>
            <sz val="9"/>
            <color indexed="81"/>
            <rFont val="Tahoma"/>
            <family val="2"/>
          </rPr>
          <t>8)</t>
        </r>
      </text>
    </comment>
    <comment ref="D62" authorId="0" shapeId="0" xr:uid="{0ECBC449-601D-41D5-B43B-2B323FF536E1}">
      <text>
        <r>
          <rPr>
            <sz val="9"/>
            <color indexed="81"/>
            <rFont val="Tahoma"/>
            <family val="2"/>
          </rPr>
          <t>Cette cellule est ici paramètrée sur la date de début de période de paie figurant dans la feuille TRAME DE BP</t>
        </r>
        <r>
          <rPr>
            <sz val="11"/>
            <color indexed="81"/>
            <rFont val="Tahoma"/>
            <family val="2"/>
          </rPr>
          <t xml:space="preserve">
</t>
        </r>
      </text>
    </comment>
    <comment ref="D64" authorId="0" shapeId="0" xr:uid="{72C047CD-DB38-45EA-A9D0-15A294CE7CE5}">
      <text>
        <r>
          <rPr>
            <sz val="9"/>
            <color indexed="81"/>
            <rFont val="Tahoma"/>
            <family val="2"/>
          </rPr>
          <t>Cette cellule est programmée pour traiter tous les cas de figure.Les cellules de référence utilisées étant les cellules H9 et B8 de la feuille TRAME DE BP</t>
        </r>
        <r>
          <rPr>
            <sz val="11"/>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39" authorId="0" shapeId="0" xr:uid="{A8556C22-AE0D-4F40-911E-DA97AC3EDFAD}">
      <text>
        <r>
          <rPr>
            <sz val="9"/>
            <color indexed="81"/>
            <rFont val="Tahoma"/>
            <family val="2"/>
          </rPr>
          <t xml:space="preserve">Limite de 2,25 SMIC sur le nombre d'heures URSSAF non dépassée
</t>
        </r>
      </text>
    </comment>
    <comment ref="G45" authorId="0" shapeId="0" xr:uid="{D3C5C2CA-BE34-44E6-875A-27391E618F44}">
      <text>
        <r>
          <rPr>
            <sz val="9"/>
            <color indexed="81"/>
            <rFont val="Tahoma"/>
            <family val="2"/>
          </rPr>
          <t>Notez le taux de 4,15% lorsque le salaire brut est supérieur au plafond. Cf Table des taux. 
Cellule D72</t>
        </r>
      </text>
    </comment>
    <comment ref="G46" authorId="0" shapeId="0" xr:uid="{4B3F82A9-C540-4851-9190-6D88B61E52BA}">
      <text>
        <r>
          <rPr>
            <sz val="9"/>
            <color indexed="81"/>
            <rFont val="Tahoma"/>
            <family val="2"/>
          </rPr>
          <t xml:space="preserve">Notez le taux à appliquer lorsque le salaire brut est supérieur au PMSS Cellule D78  de la table des Taux 
</t>
        </r>
      </text>
    </comment>
    <comment ref="E49" authorId="0" shapeId="0" xr:uid="{515DB247-D058-4D11-B00F-BA3263841C54}">
      <text>
        <r>
          <rPr>
            <sz val="9"/>
            <color indexed="81"/>
            <rFont val="Tahoma"/>
            <family val="2"/>
          </rPr>
          <t>La limite de 3,3 SMIC horaire * Nombre d'heures URSSAF n'est pas dépassée donc la base est nulle</t>
        </r>
        <r>
          <rPr>
            <b/>
            <sz val="9"/>
            <color indexed="81"/>
            <rFont val="Tahoma"/>
            <family val="2"/>
          </rPr>
          <t xml:space="preserve"> </t>
        </r>
        <r>
          <rPr>
            <sz val="9"/>
            <color indexed="81"/>
            <rFont val="Tahoma"/>
            <family val="2"/>
          </rPr>
          <t xml:space="preserve">
</t>
        </r>
      </text>
    </comment>
    <comment ref="J52" authorId="0" shapeId="0" xr:uid="{3181F386-F4E4-421C-8F96-FD97CD32FD4E}">
      <text>
        <r>
          <rPr>
            <sz val="9"/>
            <color indexed="81"/>
            <rFont val="Tahoma"/>
            <family val="2"/>
          </rPr>
          <t>Cf le calcul dans l'un des tableaux ci-dessous (à compter de la Ligne 118)</t>
        </r>
        <r>
          <rPr>
            <b/>
            <sz val="9"/>
            <color indexed="81"/>
            <rFont val="Tahoma"/>
            <family val="2"/>
          </rPr>
          <t xml:space="preserve"> </t>
        </r>
        <r>
          <rPr>
            <sz val="9"/>
            <color indexed="81"/>
            <rFont val="Tahoma"/>
            <family val="2"/>
          </rPr>
          <t xml:space="preserve">
</t>
        </r>
      </text>
    </comment>
    <comment ref="E54" authorId="0" shapeId="0" xr:uid="{8E3BF358-4753-4110-BCD9-744DC53000A5}">
      <text>
        <r>
          <rPr>
            <b/>
            <sz val="9"/>
            <color indexed="81"/>
            <rFont val="Tahoma"/>
            <family val="2"/>
          </rPr>
          <t xml:space="preserve">La base des cellules en vert est paramètrée de telle sorte que si les effectifs sont &lt;=50 elle soit à 0 et sinon en suivant les commentaires indiqués dans les cellules  immédiatement à droite.
</t>
        </r>
      </text>
    </comment>
    <comment ref="E59" authorId="0" shapeId="0" xr:uid="{B6945446-6D61-45AD-906C-C2940E4EB83A}">
      <text>
        <r>
          <rPr>
            <sz val="9"/>
            <color indexed="81"/>
            <rFont val="Tahoma"/>
            <family val="2"/>
          </rPr>
          <t xml:space="preserve">Cette cotisation est plafonnée </t>
        </r>
      </text>
    </comment>
    <comment ref="A60" authorId="0" shapeId="0" xr:uid="{6E212C22-6DA8-4E4B-9327-FF6C92A7A17B}">
      <text>
        <r>
          <rPr>
            <sz val="9"/>
            <color indexed="81"/>
            <rFont val="Tahoma"/>
            <family val="2"/>
          </rPr>
          <t xml:space="preserve">Restriction à certains départements. Cf Feuille Justification des Bases en  fin de feuille </t>
        </r>
        <r>
          <rPr>
            <b/>
            <sz val="9"/>
            <color indexed="81"/>
            <rFont val="Tahoma"/>
            <family val="2"/>
          </rPr>
          <t xml:space="preserve">
</t>
        </r>
        <r>
          <rPr>
            <sz val="9"/>
            <color indexed="81"/>
            <rFont val="Tahoma"/>
            <family val="2"/>
          </rPr>
          <t xml:space="preserve">
</t>
        </r>
      </text>
    </comment>
    <comment ref="E60" authorId="0" shapeId="0" xr:uid="{5B868A95-6557-4D79-B8D9-E3465B613594}">
      <text>
        <r>
          <rPr>
            <sz val="9"/>
            <color indexed="81"/>
            <rFont val="Tahoma"/>
            <family val="2"/>
          </rPr>
          <t xml:space="preserve">La base de calcul est effectuée sur le brut non abattu duquel on retire la prime exceptionnelle et les indemnités de trajet et la prime de panier
</t>
        </r>
      </text>
    </comment>
    <comment ref="E61" authorId="0" shapeId="0" xr:uid="{023883E3-AE34-4849-BABC-36BAA25EE4D6}">
      <text>
        <r>
          <rPr>
            <sz val="9"/>
            <color indexed="81"/>
            <rFont val="Tahoma"/>
            <family val="2"/>
          </rPr>
          <t xml:space="preserve">La base est identique à celle de l'APAS
</t>
        </r>
      </text>
    </comment>
    <comment ref="E62" authorId="0" shapeId="0" xr:uid="{F758BE7C-1E2C-4AD5-8281-217C30A67C66}">
      <text>
        <r>
          <rPr>
            <sz val="9"/>
            <color indexed="81"/>
            <rFont val="Tahoma"/>
            <family val="2"/>
          </rPr>
          <t xml:space="preserve">Cette base ne comprend pas une éventuelle prime exceptionnelle et ne comprend les indemnités de trajet et la prime de panier . On rajoute ensuite à ce calcul 13,14 % 
</t>
        </r>
      </text>
    </comment>
    <comment ref="E65" authorId="0" shapeId="0" xr:uid="{5D8FC643-E2C7-4A80-8900-999F115B8882}">
      <text>
        <r>
          <rPr>
            <sz val="9"/>
            <color indexed="81"/>
            <rFont val="Tahoma"/>
            <family val="2"/>
          </rPr>
          <t xml:space="preserve">La base de calcul consiste à prendre tous les éléments de salaire soumis à cotisations hors heures supplémentaires et hors indemnité de panier dans la limite de 10,3*Nombre de jours sur le chantier puis à pratiquer l'abattement de 1,75% et à rajouter à ce montant la PP de la mutuelle et 1,12 %  ( montant réglementaire) de la prévoyance
Dans le cas où le montant de la PP de la prévoyance serait inférieur à 1,12% on ne prend pas la PP de la prévoyance. </t>
        </r>
      </text>
    </comment>
    <comment ref="E67" authorId="0" shapeId="0" xr:uid="{98C63156-716C-40E1-99E6-890CB6785B4D}">
      <text>
        <r>
          <rPr>
            <sz val="9"/>
            <color indexed="81"/>
            <rFont val="Tahoma"/>
            <family val="2"/>
          </rPr>
          <t xml:space="preserve">On effectue l'abattement de 1,75% sur le montant des heures supplémentaires défiscalisées
</t>
        </r>
      </text>
    </comment>
    <comment ref="J70" authorId="0" shapeId="0" xr:uid="{F4AB0791-EA25-470A-B4EA-22A647BD1CF5}">
      <text>
        <r>
          <rPr>
            <sz val="9"/>
            <color indexed="81"/>
            <rFont val="Tahoma"/>
            <family val="2"/>
          </rPr>
          <t xml:space="preserve">Formule à compléter pour tenir compte de l'évolution au 01/05/2025 de la réduction forfaitaire sur les heures supplémentaires </t>
        </r>
        <r>
          <rPr>
            <b/>
            <sz val="9"/>
            <color indexed="81"/>
            <rFont val="Tahoma"/>
            <family val="2"/>
          </rPr>
          <t xml:space="preserve">
</t>
        </r>
        <r>
          <rPr>
            <sz val="9"/>
            <color indexed="81"/>
            <rFont val="Tahoma"/>
            <family val="2"/>
          </rPr>
          <t xml:space="preserve">
</t>
        </r>
      </text>
    </comment>
    <comment ref="E71" authorId="0" shapeId="0" xr:uid="{DE65F594-1926-4CD1-819E-04B341B713D4}">
      <text>
        <r>
          <rPr>
            <sz val="9"/>
            <color indexed="81"/>
            <rFont val="Tahoma"/>
            <family val="2"/>
          </rPr>
          <t xml:space="preserve">Bil s'agit ici du montant brut des heures supplémentaires ou complémentaires défiscalisées après abattement (8% en 2025) 
</t>
        </r>
        <r>
          <rPr>
            <b/>
            <sz val="9"/>
            <color indexed="81"/>
            <rFont val="Tahoma"/>
            <family val="2"/>
          </rPr>
          <t xml:space="preserve">
</t>
        </r>
        <r>
          <rPr>
            <sz val="9"/>
            <color indexed="81"/>
            <rFont val="Tahoma"/>
            <family val="2"/>
          </rPr>
          <t xml:space="preserve">
</t>
        </r>
      </text>
    </comment>
    <comment ref="G71" authorId="0" shapeId="0" xr:uid="{C3E80706-EB01-4B36-9A61-07F5AC26EF6C}">
      <text>
        <r>
          <rPr>
            <sz val="9"/>
            <color indexed="81"/>
            <rFont val="Tahoma"/>
            <family val="2"/>
          </rPr>
          <t xml:space="preserve">
Ce montant est reporté depuis le tableau qui suit</t>
        </r>
      </text>
    </comment>
    <comment ref="I78" authorId="0" shapeId="0" xr:uid="{AE3B1997-18A8-4906-AE59-EE55757DFA6D}">
      <text>
        <r>
          <rPr>
            <sz val="9"/>
            <color indexed="81"/>
            <rFont val="Tahoma"/>
            <family val="2"/>
          </rPr>
          <t xml:space="preserve">On retire du brut les  cotisations salariales et la partiede l'indemnité de panier qui n'est pas soumise à cotisations CSSG CRDS 
</t>
        </r>
      </text>
    </comment>
    <comment ref="E83" authorId="0" shapeId="0" xr:uid="{408459D9-AB3D-4538-8F9D-A22436CCEF82}">
      <text>
        <r>
          <rPr>
            <sz val="9"/>
            <color indexed="81"/>
            <rFont val="Tahoma"/>
            <family val="2"/>
          </rPr>
          <t xml:space="preserve">La base du PAS n'est pas toujours égale au Net Imposable. Cf la correction pour une explication en présence d'IJSS AT </t>
        </r>
      </text>
    </comment>
    <comment ref="G83" authorId="0" shapeId="0" xr:uid="{FD10D695-3645-4821-B732-9E239A25F77F}">
      <text>
        <r>
          <rPr>
            <sz val="9"/>
            <color indexed="81"/>
            <rFont val="Tahoma"/>
            <family val="2"/>
          </rPr>
          <t xml:space="preserve">Le taux du PAS est récupéré automatiquement dans la Feuille TAUX NEUTRE ( dans le cas où celui-ci s'applique) 
</t>
        </r>
      </text>
    </comment>
    <comment ref="I85" authorId="0" shapeId="0" xr:uid="{2D13090B-9B31-4038-B0D8-2B9FEAD4488C}">
      <text>
        <r>
          <rPr>
            <sz val="9"/>
            <color indexed="81"/>
            <rFont val="Tahoma"/>
            <family val="2"/>
          </rPr>
          <t xml:space="preserve">Mention obligatoire sur le BP même en l'absence d'heures supplémentaires 
</t>
        </r>
      </text>
    </comment>
    <comment ref="I86" authorId="0" shapeId="0" xr:uid="{CD1C2502-0447-43CA-AB11-FFA454AC4589}">
      <text>
        <r>
          <rPr>
            <sz val="9"/>
            <color indexed="81"/>
            <rFont val="Tahoma"/>
            <family val="2"/>
          </rPr>
          <t xml:space="preserve">Les allègements de cotisations ne comprennent pas la déduction forfaitaire sur les heures supplémentaires
</t>
        </r>
      </text>
    </comment>
    <comment ref="B89" authorId="0" shapeId="0" xr:uid="{BDC4F6C2-9202-47CE-BF9A-807877D5A6A2}">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E92" authorId="0" shapeId="0" xr:uid="{90510916-E66D-468C-BB96-E49FC5D43689}">
      <text>
        <r>
          <rPr>
            <sz val="9"/>
            <color indexed="81"/>
            <rFont val="Tahoma"/>
            <family val="2"/>
          </rPr>
          <t xml:space="preserve">En cas d'application de la DFS on prend le brut abattu 
</t>
        </r>
      </text>
    </comment>
    <comment ref="F96" authorId="0" shapeId="0" xr:uid="{3AF03371-855E-443E-8228-B18CA071D3AB}">
      <text>
        <r>
          <rPr>
            <sz val="9"/>
            <color indexed="81"/>
            <rFont val="Tahoma"/>
            <family val="2"/>
          </rPr>
          <t xml:space="preserve">Ce taux est obtenu en divisant le total de la ligne 115 par le salaire brut non plafonné est à appliquer un montant maximum de 11,31%
</t>
        </r>
      </text>
    </comment>
    <comment ref="E100" authorId="0" shapeId="0" xr:uid="{F7278569-857E-4835-BE9C-5D878DB5FD25}">
      <text>
        <r>
          <rPr>
            <sz val="9"/>
            <color indexed="81"/>
            <rFont val="Tahoma"/>
            <family val="2"/>
          </rPr>
          <t>La base plafonnée est majorée de111,5%</t>
        </r>
        <r>
          <rPr>
            <b/>
            <sz val="9"/>
            <color indexed="81"/>
            <rFont val="Tahoma"/>
            <family val="2"/>
          </rPr>
          <t xml:space="preserve">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65" authorId="0" shapeId="0" xr:uid="{EFD6E0E9-3AF2-4D9B-820F-6E1B5E80EBCA}">
      <text>
        <r>
          <rPr>
            <sz val="9"/>
            <color indexed="81"/>
            <rFont val="Tahoma"/>
            <family val="2"/>
          </rPr>
          <t xml:space="preserve">La base des cellules en bleu est paramétrée de telle sorte qu'elle soit à O si les effectifs de l'entreprise sont supérieurs à 50 et sinon suivant les indications données dans les cellules immédiatement à droite. </t>
        </r>
      </text>
    </comment>
    <comment ref="E66" authorId="0" shapeId="0" xr:uid="{BA6C0ACA-F9BA-4F9B-80F2-1EB44DEE39C4}">
      <text>
        <r>
          <rPr>
            <sz val="9"/>
            <color indexed="81"/>
            <rFont val="Tahoma"/>
            <family val="2"/>
          </rPr>
          <t xml:space="preserve">Cette cotisation est plafonnée </t>
        </r>
      </text>
    </comment>
    <comment ref="E67" authorId="0" shapeId="0" xr:uid="{9F19C342-1876-4487-B411-76222BD49D77}">
      <text>
        <r>
          <rPr>
            <sz val="9"/>
            <color indexed="81"/>
            <rFont val="Tahoma"/>
            <family val="2"/>
          </rPr>
          <t xml:space="preserve">La base de calcul est effectuée sur le brut non abattu duquel on retire la prime exceptionnelle et les indemnités de trajet et la prime de panier
</t>
        </r>
      </text>
    </comment>
    <comment ref="E68" authorId="0" shapeId="0" xr:uid="{CE1DBCC4-4972-40FC-A49B-648354305EBD}">
      <text>
        <r>
          <rPr>
            <sz val="9"/>
            <color indexed="81"/>
            <rFont val="Tahoma"/>
            <family val="2"/>
          </rPr>
          <t xml:space="preserve">La base est identique à celle de l'APAS
</t>
        </r>
      </text>
    </comment>
    <comment ref="E69" authorId="0" shapeId="0" xr:uid="{97C733A4-E5BF-4C54-9257-0CAD2A8A58F4}">
      <text>
        <r>
          <rPr>
            <sz val="9"/>
            <color indexed="81"/>
            <rFont val="Tahoma"/>
            <family val="2"/>
          </rPr>
          <t xml:space="preserve">Cette base ne comprend pas une éventuelle prime exceptionnelle et ne comprend les indemnités de trajet et la prime de panier . On rajoute ensuite à ce calcul 13,14 % 
</t>
        </r>
      </text>
    </comment>
    <comment ref="E71" authorId="0" shapeId="0" xr:uid="{2E532767-B4D9-4AC6-B103-0F03E3794393}">
      <text>
        <r>
          <rPr>
            <sz val="9"/>
            <color indexed="81"/>
            <rFont val="Tahoma"/>
            <family val="2"/>
          </rPr>
          <t xml:space="preserve">La base de calcul consiste à prendre tous les éléments de salaire soumis à cotisations hors heures supplémentaires et hors indemnité de panier dans la limite de 10,3*Nombre de jours sur le chantier puis à pratiquer l'abattement de 1,75% et à rajouter à ce montant la PP de la mutuelle et 1,12 %  ( montant réglementaire) de la prévoyance
Dans le cas où le montant de la PP de la prévoyance serait inférieur à 1,12% on ne prend pas la PP de la prévoyance. </t>
        </r>
      </text>
    </comment>
    <comment ref="E73" authorId="0" shapeId="0" xr:uid="{E0058C19-B11E-4DF2-B55F-C568D7CD25AC}">
      <text>
        <r>
          <rPr>
            <sz val="9"/>
            <color indexed="81"/>
            <rFont val="Tahoma"/>
            <family val="2"/>
          </rPr>
          <t xml:space="preserve">On effectue l'abattement de 1,75% sur le montant des heures supplémentaires défiscalisées
</t>
        </r>
      </text>
    </comment>
    <comment ref="E120" authorId="0" shapeId="0" xr:uid="{E8B8EB31-F7DC-487C-A08D-0D92585F1A54}">
      <text>
        <r>
          <rPr>
            <sz val="9"/>
            <color indexed="81"/>
            <rFont val="Tahoma"/>
            <family val="2"/>
          </rPr>
          <t xml:space="preserve">La base des cellules en bleu est paramétrée de telle sorte qu'elle soit à O si les effectifs de l'entreprise sont supérieurs à 50 et sinon suivant les indications données dans les cellules immédiatement à droite. </t>
        </r>
      </text>
    </comment>
    <comment ref="F120" authorId="0" shapeId="0" xr:uid="{8885504F-4BC8-42B1-AB43-2CBCEB6BAF58}">
      <text>
        <r>
          <rPr>
            <sz val="9"/>
            <color indexed="81"/>
            <rFont val="Tahoma"/>
            <family val="2"/>
          </rPr>
          <t xml:space="preserve">Cette cotisation est plafonnée </t>
        </r>
      </text>
    </comment>
    <comment ref="G120" authorId="0" shapeId="0" xr:uid="{BE0F3FC0-DE3B-4E2D-A3A5-92785D5AA98C}">
      <text>
        <r>
          <rPr>
            <sz val="9"/>
            <color indexed="81"/>
            <rFont val="Tahoma"/>
            <family val="2"/>
          </rPr>
          <t xml:space="preserve">La base de calcul est effectuée sur le brut non abattu duquel on retire la prime exceptionnelle et les indemnités de trajet et la prime de panier
</t>
        </r>
      </text>
    </comment>
    <comment ref="H120" authorId="0" shapeId="0" xr:uid="{097AF110-A3A1-4A41-96D0-60F64348466A}">
      <text>
        <r>
          <rPr>
            <sz val="9"/>
            <color indexed="81"/>
            <rFont val="Tahoma"/>
            <family val="2"/>
          </rPr>
          <t xml:space="preserve">La base est identique à celle de l'APAS
</t>
        </r>
      </text>
    </comment>
    <comment ref="I120" authorId="0" shapeId="0" xr:uid="{66897C8D-B1BA-4024-AB29-51D0886F83D0}">
      <text>
        <r>
          <rPr>
            <sz val="9"/>
            <color indexed="81"/>
            <rFont val="Tahoma"/>
            <family val="2"/>
          </rPr>
          <t xml:space="preserve">Cette base ne comprend pas une éventuelle prime exceptionnelle et ne comprend les indemnités de trajet et la prime de panier . On rajoute ensuite à ce calcul 13,14 % 
</t>
        </r>
      </text>
    </comment>
    <comment ref="K120" authorId="0" shapeId="0" xr:uid="{D4B679DB-E19A-48BB-B2C7-65C359FCDBED}">
      <text>
        <r>
          <rPr>
            <sz val="9"/>
            <color indexed="81"/>
            <rFont val="Tahoma"/>
            <family val="2"/>
          </rPr>
          <t xml:space="preserve">La base de calcul consiste à prendre tous les éléments de salaire soumis à cotisations hors heures supplémentaires et hors indemnité de panier dans la limite de 10,3*Nombre de jours sur le chantier puis à pratiquer l'abattement de 1,75% et à rajouter à ce montant la PP de la mutuelle et 1,12 %  ( montant réglementaire) de la prévoyance
Dans le cas où le montant de la PP de la prévoyance serait inférieur à 1,12% on ne prend pas la PP de la prévoyance. </t>
        </r>
      </text>
    </comment>
    <comment ref="M120" authorId="0" shapeId="0" xr:uid="{871BDDDF-F836-4CA6-9B2C-F7F3003F9BD9}">
      <text>
        <r>
          <rPr>
            <sz val="9"/>
            <color indexed="81"/>
            <rFont val="Tahoma"/>
            <family val="2"/>
          </rPr>
          <t xml:space="preserve">On effectue l'abattement de 1,75% sur le montant des heures supplémentaires défiscalisées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33A10D9A-9597-4F35-B3A6-5155190AA477}">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77BD66BD-CF48-4F43-BC1C-E9DB26C3DC2B}">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C61C545E-128A-483F-9C68-66D1A0005110}">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<sst xmlns="http://schemas.openxmlformats.org/spreadsheetml/2006/main" count="816" uniqueCount="566">
  <si>
    <t xml:space="preserve">Indemnité de panier </t>
  </si>
  <si>
    <t xml:space="preserve">APNAB </t>
  </si>
  <si>
    <t>APAS</t>
  </si>
  <si>
    <t>Caisse de Congés Payés</t>
  </si>
  <si>
    <t>Cotisation OPPBTP</t>
  </si>
  <si>
    <t xml:space="preserve">Salaire de base </t>
  </si>
  <si>
    <t>Prime exceptionnelle</t>
  </si>
  <si>
    <t>Brut Abattu *111,5%</t>
  </si>
  <si>
    <t>Base</t>
  </si>
  <si>
    <t>Taux patronal</t>
  </si>
  <si>
    <t>Contribution de solidarité pour l'autonomie</t>
  </si>
  <si>
    <t xml:space="preserve">Forfait social </t>
  </si>
  <si>
    <t xml:space="preserve">Forfait social sur Retraite Supplémentaire Art 83 </t>
  </si>
  <si>
    <t xml:space="preserve">Contribution dialogue social </t>
  </si>
  <si>
    <t xml:space="preserve">Participation à l'effort de construction </t>
  </si>
  <si>
    <t xml:space="preserve">Brut abattu </t>
  </si>
  <si>
    <t>Cotisation supplémentaire conventionnelle</t>
  </si>
  <si>
    <t xml:space="preserve">Formation professionnelle </t>
  </si>
  <si>
    <t xml:space="preserve">Taxe d'apprentissage </t>
  </si>
  <si>
    <t xml:space="preserve">CCCA BTP </t>
  </si>
  <si>
    <t xml:space="preserve">Cotisation OPPBTP </t>
  </si>
  <si>
    <t>Brut abattu</t>
  </si>
  <si>
    <t xml:space="preserve">CSG CRDS Non déductible </t>
  </si>
  <si>
    <t xml:space="preserve">Chômage intempéries </t>
  </si>
  <si>
    <t xml:space="preserve">Brut Abattu </t>
  </si>
  <si>
    <t>Taux</t>
  </si>
  <si>
    <t>PP</t>
  </si>
  <si>
    <t>PS</t>
  </si>
  <si>
    <t xml:space="preserve">Taux </t>
  </si>
  <si>
    <t xml:space="preserve">Cette matrice gére la modification  du paramètre T (cellules E4 et E5)  à iintervenir  à compter du  01/05/2025 </t>
  </si>
  <si>
    <t xml:space="preserve">Seules  Les  cellules en Jaune et en particulier la cellule E5 doivent  être renseignées </t>
  </si>
  <si>
    <t>Coefficient E&lt; 50 sal.</t>
  </si>
  <si>
    <t>T</t>
  </si>
  <si>
    <t>Cofficient E&gt;=50 sal.</t>
  </si>
  <si>
    <t xml:space="preserve">Période de paye (début du mois) </t>
  </si>
  <si>
    <t xml:space="preserve">Effectifs de l'entreprise </t>
  </si>
  <si>
    <t xml:space="preserve">SMIC Horaire applicable </t>
  </si>
  <si>
    <t xml:space="preserve">Nombre d'heures "URSSAF" du mois </t>
  </si>
  <si>
    <t xml:space="preserve">Salaire brut du mois </t>
  </si>
  <si>
    <t>Paramètre de calcul ( Format nombre du 01/05/2025)</t>
  </si>
  <si>
    <t xml:space="preserve">Calcul de la Réduction Générale de Cotisations du Mois </t>
  </si>
  <si>
    <t xml:space="preserve">Nombre d'heures effectuées </t>
  </si>
  <si>
    <t xml:space="preserve">SMICH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</si>
  <si>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</si>
  <si>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</si>
  <si>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</si>
  <si>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</si>
  <si>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Coefficient maximum </t>
  </si>
  <si>
    <t xml:space="preserve">Réduction Gén. De Cot.  = D * Salaire brut soumis à cotisations </t>
  </si>
  <si>
    <t xml:space="preserve">1,6 *SMICH * Nombre d'heures effectuées </t>
  </si>
  <si>
    <t>Indemnité de trajet</t>
  </si>
  <si>
    <t>Heures supplémentaires à 25%</t>
  </si>
  <si>
    <t>Cotisation caisse de congés payés</t>
  </si>
  <si>
    <t>Cotisation Œuvres sociales</t>
  </si>
  <si>
    <t>Chômage intempéries pour le second œuvre</t>
  </si>
  <si>
    <t>Salaire de base ( y compris HS Hors indemnités)</t>
  </si>
  <si>
    <t>Salaire de base + 13,14%*Salaire de base</t>
  </si>
  <si>
    <t>Brut Abattu</t>
  </si>
  <si>
    <t>Brut Abattu *120%</t>
  </si>
  <si>
    <t xml:space="preserve">Heures Supplémentaires </t>
  </si>
  <si>
    <t xml:space="preserve">Indemnités de trajet en cas de petit déplacement </t>
  </si>
  <si>
    <t>Maxi 10,3</t>
  </si>
  <si>
    <t>Au-delà de 10,3</t>
  </si>
  <si>
    <t xml:space="preserve">Indemnité de transport petits déplacements </t>
  </si>
  <si>
    <t>Libellé</t>
  </si>
  <si>
    <t xml:space="preserve">Brut Abattu *111,5% </t>
  </si>
  <si>
    <t xml:space="preserve">CSG Déductible </t>
  </si>
  <si>
    <t>CSG Non déductible sur heures suppl/</t>
  </si>
  <si>
    <t xml:space="preserve">CSG CRDS Non déductible sur heures supplémentaires </t>
  </si>
  <si>
    <t xml:space="preserve">CSG déductible sur heures supplémentaires </t>
  </si>
  <si>
    <t xml:space="preserve">SANTE </t>
  </si>
  <si>
    <t>Sécurité sociale Maladie Maternité Invalidité Décés 1.</t>
  </si>
  <si>
    <t xml:space="preserve">Sécurité sociale Maladie Maternité Invalidité Décés 2. </t>
  </si>
  <si>
    <t xml:space="preserve">Mutuelle Non Cadres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</si>
  <si>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</si>
  <si>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</si>
  <si>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</si>
  <si>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</si>
  <si>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</si>
  <si>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</si>
  <si>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</si>
  <si>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Allocations Familiales Taux de Base </t>
  </si>
  <si>
    <t xml:space="preserve">Allocations Famliales Taux Majoré </t>
  </si>
  <si>
    <t xml:space="preserve">ASSURANCE CHOMAGE </t>
  </si>
  <si>
    <t>Chômage + AGS (TA+TB)</t>
  </si>
  <si>
    <t>APEC (TA+TB)</t>
  </si>
  <si>
    <t xml:space="preserve">AUTRES CHARGES  DUES PAR L'EMPLOYEUR </t>
  </si>
  <si>
    <t xml:space="preserve">Total Autres Charges  dues par l'employeur </t>
  </si>
  <si>
    <t xml:space="preserve">EXONERATIONS ET ALLEGEMENTS DE COTISATIONS </t>
  </si>
  <si>
    <t xml:space="preserve">Réduction cotisations heures supplémentaires , complémentaires et autres </t>
  </si>
  <si>
    <t>Cotisations statutaires ou prévues par la Convention Collective</t>
  </si>
  <si>
    <t xml:space="preserve">Cotisations et Contributions Sociales Facultatives </t>
  </si>
  <si>
    <t xml:space="preserve">Prévoyance Complémentaire Non Cadres </t>
  </si>
  <si>
    <t xml:space="preserve">Prévoyance Complémentaire Cadres </t>
  </si>
  <si>
    <t xml:space="preserve">Montant Net Social </t>
  </si>
  <si>
    <t>Part Salariale</t>
  </si>
  <si>
    <t xml:space="preserve">Part Patronale </t>
  </si>
  <si>
    <t>Cotisations 
salariales</t>
  </si>
  <si>
    <t>Cotisations 
patronales</t>
  </si>
  <si>
    <t xml:space="preserve">Cotisations et Contributions Obligatoires </t>
  </si>
  <si>
    <t xml:space="preserve">Mutuelle Cadres </t>
  </si>
  <si>
    <t xml:space="preserve">FAMILLE </t>
  </si>
  <si>
    <t xml:space="preserve">ASSURANCE CHÔMAGE </t>
  </si>
  <si>
    <t>Chômage ( TA+TB)</t>
  </si>
  <si>
    <t>AGS (TA+TB)</t>
  </si>
  <si>
    <t>Contribution d'équilibre général  T1 (CEG T1)</t>
  </si>
  <si>
    <t>Contribution d'équilibre général  T2 (CEG T2)</t>
  </si>
  <si>
    <t>Contribution d'équilibre Technique  T1 (CET T1)</t>
  </si>
  <si>
    <t xml:space="preserve">Contribution d'équilibre Technique  T2 (CET T2) </t>
  </si>
  <si>
    <t xml:space="preserve">URSSAF FNAL Taux réduit  TA </t>
  </si>
  <si>
    <t xml:space="preserve">URSSAF FNAL Totalité </t>
  </si>
  <si>
    <t xml:space="preserve">Versement Mobilité </t>
  </si>
  <si>
    <t>Tx applicable  Paris et Petite couronne à pa</t>
  </si>
  <si>
    <t>Forfait social</t>
  </si>
  <si>
    <t>CUFPA 
(Contribution Unique à la Formation Professionnelle et à l'Apprentissage)</t>
  </si>
  <si>
    <t xml:space="preserve">CUFPA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</si>
  <si>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</si>
  <si>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</si>
  <si>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</si>
  <si>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</si>
  <si>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</si>
  <si>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Cotisations et Contributions Facultatives </t>
  </si>
  <si>
    <t>Assurance décés des cadres  (TA)</t>
  </si>
  <si>
    <t>Maintien de salaire TA</t>
  </si>
  <si>
    <t xml:space="preserve">Maintien de salaire TB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</si>
  <si>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</si>
  <si>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</si>
  <si>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</si>
  <si>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</si>
  <si>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</si>
  <si>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</si>
  <si>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</si>
  <si>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</si>
  <si>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 xml:space="preserve">Calcul alternatif </t>
  </si>
  <si>
    <t>3,3 *SMICH*35*52/12 au 01/01/2025</t>
  </si>
  <si>
    <t>Coefficients Red Gen de  Cot.applicables le  01/01/2025 (Entreprises de moins de 50 sal / Entreprises de 50 ou + de 50 sal.)</t>
  </si>
  <si>
    <t>Coefficients Red Gen de  Cot.applicables  à compter du  01/01/2025 et du 01/05/2025 (Entreprises de moins de 50 sal / Entreprises de 50 ou + de 50 sal.)</t>
  </si>
  <si>
    <t xml:space="preserve">Déduction forfaitaire sur les Heures supplémentaires  moins de 20 salariés </t>
  </si>
  <si>
    <t xml:space="preserve">par heure supplémentaire </t>
  </si>
  <si>
    <t xml:space="preserve">DFHS entreprises de 20 à moins de 250 salariés </t>
  </si>
  <si>
    <t xml:space="preserve">Déduction forfaitaire sur les Heures Supplémentaires (tous cas de figure) </t>
  </si>
  <si>
    <t xml:space="preserve">Pass Navigo RP </t>
  </si>
  <si>
    <t xml:space="preserve">Salaire Brut Inférieur au PMSS </t>
  </si>
  <si>
    <t>Salaire Brut supérieur au PMSS</t>
  </si>
  <si>
    <t xml:space="preserve">PS </t>
  </si>
  <si>
    <t>CEG T1</t>
  </si>
  <si>
    <t>CET T1</t>
  </si>
  <si>
    <t>Complémentaire T1  (sur le BP)</t>
  </si>
  <si>
    <t xml:space="preserve">CEG T2 </t>
  </si>
  <si>
    <t>CET T2</t>
  </si>
  <si>
    <t xml:space="preserve">Complémentaire T2 (sur le BP) </t>
  </si>
  <si>
    <r>
      <t xml:space="preserve">Taux </t>
    </r>
    <r>
      <rPr>
        <b/>
        <sz val="11"/>
        <color theme="0"/>
        <rFont val="Times New Roman"/>
        <family val="1"/>
      </rPr>
      <t>2025</t>
    </r>
    <r>
      <rPr>
        <sz val="11"/>
        <color theme="0"/>
        <rFont val="Times New Roman"/>
        <family val="1"/>
      </rPr>
      <t xml:space="preserve">  du Versement Mobilité en RP </t>
    </r>
  </si>
  <si>
    <t>Départements</t>
  </si>
  <si>
    <t>Taux du Versement Mobilité aiu 01/01/2024</t>
  </si>
  <si>
    <t>A compter du 01/02/2024</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</si>
  <si>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</si>
  <si>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</si>
  <si>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</si>
  <si>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</si>
  <si>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2,01 % / 1,6 % </t>
  </si>
  <si>
    <t xml:space="preserve">Consulter les taux applicables sur le site  de URSSAF à l'adresse suivante : </t>
  </si>
  <si>
    <r>
      <t xml:space="preserve">  </t>
    </r>
    <r>
      <rPr>
        <i/>
        <sz val="9"/>
        <color theme="1"/>
        <rFont val="Times New Roman"/>
        <family val="1"/>
      </rPr>
      <t xml:space="preserve"> https://www.urssaf.fr/portail/home/taux-et-baremes/versement-mobilite.html</t>
    </r>
  </si>
  <si>
    <t xml:space="preserve">Heures URSSAF </t>
  </si>
  <si>
    <t>Tx salarial</t>
  </si>
  <si>
    <t>Tx Patronal</t>
  </si>
  <si>
    <t xml:space="preserve">Complémentaire Incapacité, Invalidité , décés </t>
  </si>
  <si>
    <t xml:space="preserve">Indemnité de panier Soumise à Cot.Non soumise à CSG CRDS </t>
  </si>
  <si>
    <t xml:space="preserve">Indemnité de panier Soumise à Cot. Soumise à CSG CRDS </t>
  </si>
  <si>
    <t xml:space="preserve">Tableau 1. </t>
  </si>
  <si>
    <t>Cot. Sal.</t>
  </si>
  <si>
    <t xml:space="preserve">Base du mois </t>
  </si>
  <si>
    <t xml:space="preserve">Montants  du mois </t>
  </si>
  <si>
    <t xml:space="preserve">TOTAL </t>
  </si>
  <si>
    <t xml:space="preserve">Rapport au salaire brut </t>
  </si>
  <si>
    <t xml:space="preserve">Autres charges dues par l'employeur </t>
  </si>
  <si>
    <t xml:space="preserve">      BULLETIN  DE  SALAIRE</t>
  </si>
  <si>
    <t>EMPLOYEUR</t>
  </si>
  <si>
    <t>SALARIE</t>
  </si>
  <si>
    <t>Nom :</t>
  </si>
  <si>
    <t>Adresse :</t>
  </si>
  <si>
    <t>Prénom :</t>
  </si>
  <si>
    <t>Emploi :</t>
  </si>
  <si>
    <t>N° SIRET</t>
  </si>
  <si>
    <t xml:space="preserve">Classification </t>
  </si>
  <si>
    <t xml:space="preserve">Niveau </t>
  </si>
  <si>
    <t xml:space="preserve">Position </t>
  </si>
  <si>
    <t>Code APE</t>
  </si>
  <si>
    <t>N° de S.S. :</t>
  </si>
  <si>
    <t>Effectif</t>
  </si>
  <si>
    <t xml:space="preserve">  PERIODE DU  :</t>
  </si>
  <si>
    <t>Au :</t>
  </si>
  <si>
    <t xml:space="preserve">Payé le </t>
  </si>
  <si>
    <t xml:space="preserve">Coefficient </t>
  </si>
  <si>
    <t xml:space="preserve">CCN </t>
  </si>
  <si>
    <t xml:space="preserve"> Salaire de base</t>
  </si>
  <si>
    <t>à</t>
  </si>
  <si>
    <t>AN TR</t>
  </si>
  <si>
    <t xml:space="preserve">Prime d'ancienneté </t>
  </si>
  <si>
    <t xml:space="preserve">Prime de production </t>
  </si>
  <si>
    <t xml:space="preserve">Avantages en nature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</si>
  <si>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</si>
  <si>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</si>
  <si>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</si>
  <si>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</si>
  <si>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</si>
  <si>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à </t>
  </si>
  <si>
    <t xml:space="preserve">IJSS Brute </t>
  </si>
  <si>
    <t xml:space="preserve">Garantie du Net </t>
  </si>
  <si>
    <t>PLAFOND S.S.  :</t>
  </si>
  <si>
    <t xml:space="preserve">Indemnité de trajet </t>
  </si>
  <si>
    <t xml:space="preserve">Total brut </t>
  </si>
  <si>
    <t>FNAL Plafonnée</t>
  </si>
  <si>
    <t xml:space="preserve">FNAL  </t>
  </si>
  <si>
    <t>Versement de mobilité</t>
  </si>
  <si>
    <t xml:space="preserve">Brut Abattu majoré de 111,5 % </t>
  </si>
  <si>
    <t xml:space="preserve">Contribution de solidarité pour l'autonomie </t>
  </si>
  <si>
    <t xml:space="preserve">Impöt sur le revenu </t>
  </si>
  <si>
    <t xml:space="preserve">Base </t>
  </si>
  <si>
    <t xml:space="preserve">Taux personnalisé / Taux non personnalisé </t>
  </si>
  <si>
    <t>Montant</t>
  </si>
  <si>
    <t xml:space="preserve">Net imposable </t>
  </si>
  <si>
    <t xml:space="preserve">NET A PAYER AVANT IMPÖT SUR LE REVENU </t>
  </si>
  <si>
    <t xml:space="preserve">Total des Cotisations Salariales et Patronales </t>
  </si>
  <si>
    <t xml:space="preserve">NET A PAYER AU SALARIE </t>
  </si>
  <si>
    <t xml:space="preserve">Montant net des heures supplémentaires / Complémentaires/ RTT Exonérées </t>
  </si>
  <si>
    <t xml:space="preserve">Indemnité de transport petit déplacement </t>
  </si>
  <si>
    <t xml:space="preserve">Non soumise à CSG CRDS Non Imposable </t>
  </si>
  <si>
    <t xml:space="preserve">Prime de transport </t>
  </si>
  <si>
    <t>Jeudi</t>
  </si>
  <si>
    <t>Vendredi</t>
  </si>
  <si>
    <t>Samedi</t>
  </si>
  <si>
    <t>Dimanche</t>
  </si>
  <si>
    <t>Lundi</t>
  </si>
  <si>
    <t>Mardi</t>
  </si>
  <si>
    <t>Mercredi</t>
  </si>
  <si>
    <t xml:space="preserve">Allégements de cotisations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</si>
  <si>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</si>
  <si>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</si>
  <si>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</si>
  <si>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</si>
  <si>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</si>
  <si>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</si>
  <si>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Mutuelle   Non Cadres </t>
  </si>
  <si>
    <t>Prévoyance Complémentaire   Non Cadres</t>
  </si>
  <si>
    <t xml:space="preserve">Totalité </t>
  </si>
  <si>
    <t>(1)</t>
  </si>
  <si>
    <t xml:space="preserve">Taux accident de travail </t>
  </si>
  <si>
    <t>Taux versement Mobilité</t>
  </si>
  <si>
    <t xml:space="preserve">Nom du salarié </t>
  </si>
  <si>
    <t xml:space="preserve">MARTINO </t>
  </si>
  <si>
    <t xml:space="preserve">Prénom </t>
  </si>
  <si>
    <t>Rassa</t>
  </si>
  <si>
    <t xml:space="preserve">Emploi </t>
  </si>
  <si>
    <t xml:space="preserve">Numéro de SS </t>
  </si>
  <si>
    <t>Statut du salarié (NC / C )</t>
  </si>
  <si>
    <t xml:space="preserve">Tapez le Code (1 pour Non Cadre - 2  pour Cadre) </t>
  </si>
  <si>
    <t xml:space="preserve">Forfait Jours  / Forfait heures </t>
  </si>
  <si>
    <t>MOIS</t>
  </si>
  <si>
    <t>Début Période de paie</t>
  </si>
  <si>
    <t xml:space="preserve">Fin de période de paie </t>
  </si>
  <si>
    <t xml:space="preserve">Date de paiement du salaire </t>
  </si>
  <si>
    <t xml:space="preserve">Nombre d'heures contractuelles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</si>
  <si>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</si>
  <si>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</si>
  <si>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</si>
  <si>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</si>
  <si>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</si>
  <si>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</si>
  <si>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</si>
  <si>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</si>
  <si>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</si>
  <si>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</si>
  <si>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</si>
  <si>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</si>
  <si>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</si>
  <si>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</si>
  <si>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</si>
  <si>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</si>
  <si>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</si>
  <si>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</si>
  <si>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</si>
  <si>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</si>
  <si>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</si>
  <si>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Montant patronal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</si>
  <si>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</si>
  <si>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</si>
  <si>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</si>
  <si>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</si>
  <si>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</si>
  <si>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</si>
  <si>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</si>
  <si>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</si>
  <si>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</si>
  <si>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</si>
  <si>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</si>
  <si>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</si>
  <si>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</si>
  <si>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</si>
  <si>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</si>
  <si>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</si>
  <si>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</si>
  <si>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</si>
  <si>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</si>
  <si>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</si>
  <si>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</si>
  <si>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</si>
  <si>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</si>
  <si>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</si>
  <si>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</si>
  <si>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</si>
  <si>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</si>
  <si>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</si>
  <si>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AGTD</t>
  </si>
  <si>
    <t>Coefficient</t>
  </si>
  <si>
    <t xml:space="preserve">Position  </t>
  </si>
  <si>
    <t>Montant de l'abattement</t>
  </si>
  <si>
    <t>Nombre Complémentaires à 10%</t>
  </si>
  <si>
    <t>Heures complémentaires à 25%</t>
  </si>
  <si>
    <t xml:space="preserve">Heures supplémentaires à 10% </t>
  </si>
  <si>
    <t xml:space="preserve">Heures supplémentaires à 50% </t>
  </si>
  <si>
    <t xml:space="preserve">Total des heures supplémentaires et complémentaires </t>
  </si>
  <si>
    <t xml:space="preserve">Net à payer </t>
  </si>
  <si>
    <t xml:space="preserve">Heures supplémentaires </t>
  </si>
  <si>
    <t xml:space="preserve">dans la limite de 10,3 par jour passé sur le chantier </t>
  </si>
  <si>
    <t xml:space="preserve">au-delà de la limite de 10,30 </t>
  </si>
  <si>
    <t xml:space="preserve">Brut </t>
  </si>
  <si>
    <t>CSG Non déductible sur Heures Supp</t>
  </si>
  <si>
    <t>CSG CRDS Non déductible sur Heures Supp</t>
  </si>
  <si>
    <t>CSG CRDS Hors Heures Supp</t>
  </si>
  <si>
    <t xml:space="preserve">PP Mutuelle </t>
  </si>
  <si>
    <t xml:space="preserve">Non imposable dans la limite de 10,3 par jour passé sur le chantier </t>
  </si>
  <si>
    <t xml:space="preserve">Montant net des heures supplémentaires exonérées </t>
  </si>
  <si>
    <t xml:space="preserve">Montant net social </t>
  </si>
  <si>
    <t xml:space="preserve">Brut avant abattement </t>
  </si>
  <si>
    <t xml:space="preserve">Charges sociales </t>
  </si>
  <si>
    <t xml:space="preserve">Grille du taux neutre 2025. Selon la date de début de période de  paie  cette table sera mise à jour autimatiquement </t>
  </si>
  <si>
    <t xml:space="preserve">Format nombre de la date du 01/05/2025 </t>
  </si>
  <si>
    <t>Tranche inférieure</t>
  </si>
  <si>
    <t>Tranche Supérieure</t>
  </si>
  <si>
    <t xml:space="preserve">( permet de faire un test sur la date du mois) </t>
  </si>
  <si>
    <t xml:space="preserve">Salarié X </t>
  </si>
  <si>
    <t xml:space="preserve">Base du PAS </t>
  </si>
  <si>
    <t>Salarié Y</t>
  </si>
  <si>
    <t>Grille du taux neutre 2025</t>
  </si>
  <si>
    <t xml:space="preserve">​ </t>
  </si>
  <si>
    <t>RGCP</t>
  </si>
  <si>
    <t xml:space="preserve">Prime exceptionnelle </t>
  </si>
  <si>
    <t xml:space="preserve">CSG Déductible hors Heures Supplémentaires </t>
  </si>
  <si>
    <t xml:space="preserve">CSG CRDS Non déductible hors heures supplémentaires </t>
  </si>
  <si>
    <t xml:space="preserve">On prend 111,5 %  du brut abattu </t>
  </si>
  <si>
    <t xml:space="preserve">On prend le Brut abattu </t>
  </si>
  <si>
    <t xml:space="preserve">PP Mutuelle + 1,12% Base Prévoyance (cf BP)  </t>
  </si>
  <si>
    <t xml:space="preserve">Entreprise non redevable compte tenu du nombre de salariés </t>
  </si>
  <si>
    <t xml:space="preserve">On prend 120% du brut abattu </t>
  </si>
  <si>
    <t>*</t>
  </si>
  <si>
    <t xml:space="preserve"> Cf Hypothèse de départ </t>
  </si>
  <si>
    <t>Brut</t>
  </si>
  <si>
    <t xml:space="preserve">Siége social </t>
  </si>
  <si>
    <t xml:space="preserve">Maintien de salaire </t>
  </si>
  <si>
    <t xml:space="preserve">Absence </t>
  </si>
  <si>
    <t xml:space="preserve">Maintien </t>
  </si>
  <si>
    <t xml:space="preserve">Lundi </t>
  </si>
  <si>
    <t xml:space="preserve">Indemnité de transport </t>
  </si>
  <si>
    <t>Indemnité de transport</t>
  </si>
  <si>
    <t>Indemnité de panier imposable</t>
  </si>
  <si>
    <t>Abattement de 1,75%</t>
  </si>
  <si>
    <t>Heures supplémentaires et Compl/</t>
  </si>
  <si>
    <t xml:space="preserve">Non soumises à ce niveau </t>
  </si>
  <si>
    <t xml:space="preserve">Base CSG CRDS hors heures supplémentaires </t>
  </si>
  <si>
    <t>Allègements de cotisations</t>
  </si>
  <si>
    <t xml:space="preserve">Indemnité de transport soumise à cotisations mais pas à la CSG CRDS </t>
  </si>
  <si>
    <t xml:space="preserve">Taux Accident du travail </t>
  </si>
  <si>
    <t xml:space="preserve">Temps de travail </t>
  </si>
  <si>
    <t xml:space="preserve">Enoncé </t>
  </si>
  <si>
    <t xml:space="preserve">Correction </t>
  </si>
  <si>
    <t xml:space="preserve">Horaires de travail </t>
  </si>
  <si>
    <t xml:space="preserve">Du </t>
  </si>
  <si>
    <t xml:space="preserve">au </t>
  </si>
  <si>
    <t xml:space="preserve">Vendredi </t>
  </si>
  <si>
    <t>Indemnité de trasnport **</t>
  </si>
  <si>
    <t>**</t>
  </si>
  <si>
    <t>Il ne faut pas prendre les 4 euros</t>
  </si>
  <si>
    <t xml:space="preserve">L'allégement de cotisations figurant en bas de bulletin de paie ne comprend pas la déduction forfaitaire sur les heures supplémentaires </t>
  </si>
  <si>
    <t xml:space="preserve">RGCP + Déduction forfaitaire sur les heures supplémentaires </t>
  </si>
  <si>
    <t xml:space="preserve">auquel on rajoute </t>
  </si>
  <si>
    <t xml:space="preserve">Le tableau suivant reprend les données depuis le bulletin de paie </t>
  </si>
  <si>
    <t xml:space="preserve">Entreprises de moins de 11 salariés </t>
  </si>
  <si>
    <t xml:space="preserve">Entreprises de 11 ou  +  de 11 salariés </t>
  </si>
  <si>
    <t>Entreprise de</t>
  </si>
  <si>
    <t xml:space="preserve">salariés </t>
  </si>
  <si>
    <t xml:space="preserve">IDCC </t>
  </si>
  <si>
    <t xml:space="preserve">Maintien de salaire MNP </t>
  </si>
  <si>
    <t xml:space="preserve">Absence Congé pour événement familial </t>
  </si>
  <si>
    <t xml:space="preserve">Maintien du salaire MNP </t>
  </si>
  <si>
    <t xml:space="preserve">Maintien de salaire Congé  pour événement familial </t>
  </si>
  <si>
    <t xml:space="preserve">Absence pour MNP </t>
  </si>
  <si>
    <t xml:space="preserve">Maintien de salaire Congé Evenement familail </t>
  </si>
  <si>
    <t xml:space="preserve">Absence Congé pour événement familial  </t>
  </si>
  <si>
    <t>Maintien  MNP</t>
  </si>
  <si>
    <t xml:space="preserve">Le montant du maintien de salaire n'a pas à être intégré dans la base de calcul de ces 3 cotisations </t>
  </si>
  <si>
    <t xml:space="preserve">A retirer dans la limite de 10,3 par jour sur le chantier </t>
  </si>
  <si>
    <t>CCCA BTP</t>
  </si>
  <si>
    <t xml:space="preserve">Salarié </t>
  </si>
  <si>
    <t xml:space="preserve">Salaire de base ( y compris HS Hors indemnités) Restriction à certains départements </t>
  </si>
  <si>
    <t xml:space="preserve">Restriction à certains départements </t>
  </si>
  <si>
    <t>Entreprises du BTP</t>
  </si>
  <si>
    <t xml:space="preserve">Départements concernés </t>
  </si>
  <si>
    <t>APAS BTP RP</t>
  </si>
  <si>
    <t>APAS Provence : usbtp paca</t>
  </si>
  <si>
    <t>AGBTP Loire</t>
  </si>
  <si>
    <t xml:space="preserve">Entreprises des TP </t>
  </si>
  <si>
    <t xml:space="preserve">APAS BTP RP </t>
  </si>
  <si>
    <t xml:space="preserve">* Oeuvres sociales APAS </t>
  </si>
  <si>
    <t xml:space="preserve">* Restrictions CF ci-dessous </t>
  </si>
  <si>
    <t>Congés</t>
  </si>
  <si>
    <t xml:space="preserve">Acquis </t>
  </si>
  <si>
    <t>Pris</t>
  </si>
  <si>
    <t xml:space="preserve">Reste </t>
  </si>
  <si>
    <t>Anc</t>
  </si>
  <si>
    <t>Plafond de la SS</t>
  </si>
  <si>
    <t>Mois</t>
  </si>
  <si>
    <t>Année</t>
  </si>
  <si>
    <t xml:space="preserve">Salaire Brut </t>
  </si>
  <si>
    <t>Coût Employeur</t>
  </si>
  <si>
    <t>Charges sal.</t>
  </si>
  <si>
    <t>Charges pat.</t>
  </si>
  <si>
    <t xml:space="preserve">RTT </t>
  </si>
  <si>
    <t>N-1/N</t>
  </si>
  <si>
    <t>N / N+1</t>
  </si>
  <si>
    <t>Heures Trav.</t>
  </si>
  <si>
    <t>Jours Trav.</t>
  </si>
  <si>
    <t>Assimilé Cadre Tapez 1 Sinon -</t>
  </si>
  <si>
    <t xml:space="preserve">Absence  du </t>
  </si>
  <si>
    <t>Forfait mobilités durables mensuels exonérés</t>
  </si>
  <si>
    <t>https://www.fntp.fr/wp-content/uploads/2024/12/SALAIRE_MINIMA_HIERARCHIQUES_ILE-DE-FRANCE_2025-1.pdf</t>
  </si>
  <si>
    <t>2, Avenue des Fleurs 92700 Colombes</t>
  </si>
  <si>
    <t xml:space="preserve">Forfait Mobilités durables </t>
  </si>
  <si>
    <t>heures par semaine</t>
  </si>
  <si>
    <t xml:space="preserve">Mensuel Temps plein </t>
  </si>
  <si>
    <t xml:space="preserve">Valorisation de l'absence </t>
  </si>
  <si>
    <t xml:space="preserve">Heures réelles du mois </t>
  </si>
  <si>
    <t xml:space="preserve">Déduction Forfaitaire Spécifique Si Oui Tapez 1 Sinon Ne rien saisir </t>
  </si>
  <si>
    <t>Nombre d'heures mensuelles</t>
  </si>
  <si>
    <t xml:space="preserve">Horaires du mois </t>
  </si>
  <si>
    <t xml:space="preserve">Salaire Annuel </t>
  </si>
  <si>
    <t xml:space="preserve">Mensuel Temps partiel </t>
  </si>
  <si>
    <t>Heures de présence du mois</t>
  </si>
  <si>
    <t xml:space="preserve">Déduction forfaitaire spécifique </t>
  </si>
  <si>
    <t>Compléter le masque de saisie . Ne pas omettre de renseigner les lignes 15 et 16</t>
  </si>
  <si>
    <t xml:space="preserve">Pensez le cas échéant à consulter les notes figurant dans les cellules </t>
  </si>
  <si>
    <t xml:space="preserve">Heures supplémentaires / Heures complémentaires </t>
  </si>
  <si>
    <r>
      <t xml:space="preserve">Routine permettant de calculer la déduction forfaitaire sur les </t>
    </r>
    <r>
      <rPr>
        <b/>
        <sz val="11"/>
        <color theme="1"/>
        <rFont val="Times New Roman"/>
        <family val="1"/>
      </rPr>
      <t>heures supplémentaires</t>
    </r>
    <r>
      <rPr>
        <sz val="11"/>
        <color theme="1"/>
        <rFont val="Times New Roman"/>
        <family val="1"/>
      </rPr>
      <t xml:space="preserve"> suivant la période de paie et le nombre de salariés </t>
    </r>
  </si>
  <si>
    <r>
      <t>Cette déduction forfataire ne s'applique pas aux</t>
    </r>
    <r>
      <rPr>
        <b/>
        <sz val="11"/>
        <color theme="1"/>
        <rFont val="Times New Roman"/>
        <family val="1"/>
      </rPr>
      <t xml:space="preserve"> heures complémentaires</t>
    </r>
    <r>
      <rPr>
        <sz val="11"/>
        <color theme="1"/>
        <rFont val="Times New Roman"/>
        <family val="1"/>
      </rPr>
      <t xml:space="preserve">. Ce montant est reporté cellule J94 du bulletin de paie (avec le signe -)  </t>
    </r>
  </si>
  <si>
    <t>Type de contrat</t>
  </si>
  <si>
    <t xml:space="preserve">7 h / par jour </t>
  </si>
  <si>
    <t xml:space="preserve">Date d'entrée dans l'entreprise </t>
  </si>
  <si>
    <t>ICP</t>
  </si>
  <si>
    <t xml:space="preserve">Absence  du 20/01 au 31/01 ( fin de contrat) </t>
  </si>
  <si>
    <t xml:space="preserve">Indemnité de précarité </t>
  </si>
  <si>
    <t xml:space="preserve">CDI </t>
  </si>
  <si>
    <t xml:space="preserve">Date départ de l'entreprise </t>
  </si>
  <si>
    <t xml:space="preserve">Durée du Préavis théorique </t>
  </si>
  <si>
    <t xml:space="preserve">Compte tenu de l'ancienneté du salarié </t>
  </si>
  <si>
    <t xml:space="preserve">Ancienneté du salarié </t>
  </si>
  <si>
    <t xml:space="preserve">Fin théorique du préavis </t>
  </si>
  <si>
    <t>Réponse</t>
  </si>
  <si>
    <t>C'est au moment où le salarié quitte l'entreprise</t>
  </si>
  <si>
    <t xml:space="preserve">C'est à l'employeur de fixer la date où le salarié quitte l'entreprise ( même s'il a été dispensé depréavis) </t>
  </si>
  <si>
    <t xml:space="preserve">Soit cette date est fixée au moment où le salarié donne sa démission et il doit alors lui verser en totalité au moment de la démission de l'indemnité compenstrice de préavis. </t>
  </si>
  <si>
    <t>Soit cette date est fixée par l'employeur à la fin du préavis ( même non effectué) 'et il peut éventuellement échelonner le paiement de  l'indemnité compensatrice de préavis sur les paies interclaires</t>
  </si>
  <si>
    <t xml:space="preserve">Dans  le cas de figure l'employeur a choisi la solution 1 et a décidé de verser l'indemnité compenstrice de préavis de manière échelonnée sur Janvier , Février et Mars </t>
  </si>
  <si>
    <t>Solution 1</t>
  </si>
  <si>
    <t>Solution 2</t>
  </si>
  <si>
    <t xml:space="preserve">Indemnité compenstrice pour préavis non effectué </t>
  </si>
  <si>
    <t xml:space="preserve">Voir sur ce point la sécurisation juridique de cette décision en Annexe. </t>
  </si>
  <si>
    <t>Indemnité compensatrice de préavis de Janvier</t>
  </si>
  <si>
    <t xml:space="preserve">Sur l'obligation de paiement de l'indemnité compensatrice de préavis et le moment   où cette indemnité doit être versée voir l'Annexe 2. </t>
  </si>
  <si>
    <t xml:space="preserve">Indemnités de petit déplacement </t>
  </si>
  <si>
    <t xml:space="preserve">dans le mois </t>
  </si>
  <si>
    <t>en</t>
  </si>
  <si>
    <t>IPD</t>
  </si>
  <si>
    <t>1.96.02.297.820. 957</t>
  </si>
  <si>
    <t xml:space="preserve">Salaire brut du mois hors indemnité de trajet </t>
  </si>
  <si>
    <t xml:space="preserve">Salaire brut habituel hors indemnité de trajet </t>
  </si>
  <si>
    <t xml:space="preserve">RP </t>
  </si>
  <si>
    <t xml:space="preserve">RGCP Brut Non Abattu </t>
  </si>
  <si>
    <t xml:space="preserve">Points de vigilance </t>
  </si>
  <si>
    <t xml:space="preserve">Bien renseigner les lignes 15 et 16 du masque de saisie </t>
  </si>
  <si>
    <t xml:space="preserve">Pour le calcul de la RGCP  appliquer le plafond de 130 % </t>
  </si>
  <si>
    <t xml:space="preserve">Jeudi </t>
  </si>
  <si>
    <t>Semaine 1</t>
  </si>
  <si>
    <t>Semaine 2</t>
  </si>
  <si>
    <t xml:space="preserve">Semaine 3 </t>
  </si>
  <si>
    <t>Semaine 4</t>
  </si>
  <si>
    <t xml:space="preserve">Semaine 5 </t>
  </si>
  <si>
    <t xml:space="preserve">Semaine 2 </t>
  </si>
  <si>
    <t xml:space="preserve">Nombre d'heures Supplémentaires </t>
  </si>
  <si>
    <t xml:space="preserve">Heures suppl. à </t>
  </si>
  <si>
    <t xml:space="preserve">Cf calendrier en bas de page </t>
  </si>
  <si>
    <t xml:space="preserve">En Jaune dans le Bulletin de Paie les cellules à contrôler </t>
  </si>
  <si>
    <t xml:space="preserve">* Cf bas de page </t>
  </si>
  <si>
    <t xml:space="preserve">Le  montant maximum applicable </t>
  </si>
  <si>
    <t xml:space="preserve">Ce classeur comprend les feuilles suivantes </t>
  </si>
  <si>
    <t>Table des Taux 2025</t>
  </si>
  <si>
    <t xml:space="preserve">Indemnité de trajet  </t>
  </si>
  <si>
    <t xml:space="preserve">Documentation </t>
  </si>
  <si>
    <t xml:space="preserve">CCN  ouvriers TP </t>
  </si>
  <si>
    <t xml:space="preserve">Masque de saisie </t>
  </si>
  <si>
    <t xml:space="preserve">Enonce et corrigé </t>
  </si>
  <si>
    <t xml:space="preserve">Justification des bases  </t>
  </si>
  <si>
    <t xml:space="preserve">BP Correction </t>
  </si>
  <si>
    <t xml:space="preserve">Taux Neutre </t>
  </si>
  <si>
    <t xml:space="preserve">Taux Neutre Janvier </t>
  </si>
  <si>
    <t xml:space="preserve">Taux Neutre Mai </t>
  </si>
  <si>
    <t xml:space="preserve">Précision sur l'assiette ci-dessous </t>
  </si>
  <si>
    <t xml:space="preserve">Pour une explication du fonctionnement de ces 3 feuilles voir Paie 2025 sur le site sitepersojlc.fr </t>
  </si>
  <si>
    <t xml:space="preserve">Chapitres </t>
  </si>
  <si>
    <t xml:space="preserve">Application du taux neutre </t>
  </si>
  <si>
    <t xml:space="preserve"> Ouvrier </t>
  </si>
  <si>
    <t>3 Rue Paul Vaillant Couturier 92700 Colombes</t>
  </si>
  <si>
    <t>Oui</t>
  </si>
  <si>
    <t>Zone 3</t>
  </si>
  <si>
    <t xml:space="preserve">Indemnité de  panier </t>
  </si>
  <si>
    <t xml:space="preserve">Prime d'outillage </t>
  </si>
  <si>
    <t xml:space="preserve">5 euros par jour travaillé. Cette prime ne dépasse pas le montant des frais engagés par le salarié </t>
  </si>
  <si>
    <t xml:space="preserve">L'entreprise bien que  pratiquant la DFS a décidé de bénéficier de la tolérance administrative du BOSS applicable dans le secteur du bâtiment Cf doc  dans la feuille Indemnité de panier </t>
  </si>
  <si>
    <t xml:space="preserve">Lignes 127 à 148 </t>
  </si>
  <si>
    <t>Indemnité de Trajet</t>
  </si>
  <si>
    <t>Heures Supplémentaires à</t>
  </si>
  <si>
    <t xml:space="preserve">Pro BTP </t>
  </si>
  <si>
    <t xml:space="preserve">Convention collective nationale concernant les ouvriers employés par les entreprises du bâtiment visées par le décret du 1er mars 1962 - c'est-à-dire occupant jusqu'à 10 salariés — IDCC 1596 </t>
  </si>
  <si>
    <t xml:space="preserve">Majoration d'assiette pour les entreprises du Bâtiment ( 13,14% ) </t>
  </si>
  <si>
    <t xml:space="preserve">RemboursementFrais Professionnels </t>
  </si>
  <si>
    <t>4339Z</t>
  </si>
  <si>
    <t xml:space="preserve">APNAB Applicable daans le Bâtiment </t>
  </si>
  <si>
    <t xml:space="preserve">Indemnité de transport soumise à cotisations </t>
  </si>
  <si>
    <t xml:space="preserve">Indemnité de transport non soumise à cotisation </t>
  </si>
  <si>
    <t>Indemnité de panier Soumise à Cot.</t>
  </si>
  <si>
    <t>Indemnité de panier Soumise à Cot</t>
  </si>
  <si>
    <t xml:space="preserve">Indemnité de panier intégrées dans la base de calcul des cotisations </t>
  </si>
  <si>
    <t>Indemnité de panier ***</t>
  </si>
  <si>
    <t>***</t>
  </si>
  <si>
    <t xml:space="preserve">Partie dépassant la limite de 10,30 euros </t>
  </si>
  <si>
    <t xml:space="preserve">Prévoyance complémentaire </t>
  </si>
  <si>
    <t xml:space="preserve">Mutuelle </t>
  </si>
  <si>
    <t xml:space="preserve">RGCP Brut abattu </t>
  </si>
  <si>
    <t>Cellule J70</t>
  </si>
  <si>
    <t>Ligne J70</t>
  </si>
  <si>
    <t xml:space="preserve">On prend 111,5%  du brut abattu </t>
  </si>
  <si>
    <t xml:space="preserve">On prend 98,25 % du total </t>
  </si>
  <si>
    <t>PP Prévoyance = Base ( BP Ligne 73)  *1,12% (% défini réglementairement)</t>
  </si>
  <si>
    <t xml:space="preserve">SAL MIN ET IPD RP </t>
  </si>
  <si>
    <t xml:space="preserve">Tolérance administrative </t>
  </si>
  <si>
    <t xml:space="preserve">Cas d'exemption * </t>
  </si>
  <si>
    <t>A reporter Cellule J52</t>
  </si>
  <si>
    <t>* Si l'entreprise a au plus 10 salariés et a employé au moins 1 apprenti au cours de l'année N-1 et que la masse salariale de l'année N-1 est composée à au moins 11%  des salaires des apprentis la Taxe n'est pas dûe</t>
  </si>
  <si>
    <t>Ouvrier Chantier</t>
  </si>
  <si>
    <t>Semaine 3</t>
  </si>
  <si>
    <t>Cf Feuille Sal Min et IPD RP</t>
  </si>
  <si>
    <t xml:space="preserve">0,01%*Base Prévoyance </t>
  </si>
  <si>
    <t>-</t>
  </si>
  <si>
    <t xml:space="preserve">Charges sociales salariales </t>
  </si>
  <si>
    <t xml:space="preserve">Cellule I85 du bulletin de Paie </t>
  </si>
  <si>
    <t>Cellule I86</t>
  </si>
  <si>
    <t xml:space="preserve">Du fait de la non application des taux de 6 %  sur la cotisation SS Maladie Invalidité Décés (Ligne 39) et de la non application du taux de 1,8% sur les Allocations familiales </t>
  </si>
  <si>
    <t xml:space="preserve">(Ligne 49) on considére que l'entreprise a bénéficié d'un allègement de cotisations de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</si>
</sst>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0.000%"/>
    <numFmt numFmtId="165" formatCode="_-* #,##0.00\ _€_-;\-* #,##0.00\ _€_-;_-* &quot;-&quot;??\ _€_-;_-@_-"/>
    <numFmt numFmtId="166" formatCode="0.0%"/>
    <numFmt numFmtId="167" formatCode="0.0000"/>
    <numFmt numFmtId="168" formatCode="0.0000%"/>
    <numFmt numFmtId="169" formatCode="0.000"/>
    <numFmt numFmtId="170" formatCode="_(* #,##0.00_);_(* \(#,##0.00\);_(* &quot;-&quot;??_);_(@_)"/>
    <numFmt numFmtId="171" formatCode="_-* #,##0.0000_-;\-* #,##0.0000_-;_-* &quot;-&quot;??_-;_-@_-"/>
    <numFmt numFmtId="172" formatCode="#,##0.00_ ;\-#,##0.00\ "/>
    <numFmt numFmtId="173" formatCode="\ #,##0&quot;    &quot;;\-#,##0&quot;    &quot;;&quot; -&quot;#&quot;    &quot;;@\ "/>
    <numFmt numFmtId="174" formatCode="\ #,##0.00&quot;    &quot;;\-#,##0.00&quot;    &quot;;&quot; -&quot;#&quot;    &quot;;@\ "/>
    <numFmt numFmtId="175" formatCode="\ #,##0.00&quot;    &quot;;\-#,##0.00&quot;    &quot;;&quot; -&quot;#&quot;    &quot;;\ @\ "/>
    <numFmt numFmtId="176" formatCode="0.00000"/>
    <numFmt numFmtId="177" formatCode="0.0"/>
  </numFmts>
  <fonts count="88"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9"/>
      <color indexed="81"/>
      <name val="Tahoma"/>
      <family val="2"/>
    </font>
    <font>
      <b/>
      <sz val="9"/>
      <color indexed="81"/>
      <name val="Tahoma"/>
      <family val="2"/>
    </font>
    <font>
      <sz val="12"/>
      <color theme="1"/>
      <name val="Arial Narrow"/>
      <family val="2"/>
    </font>
    <font>
      <sz val="12"/>
      <color theme="1"/>
      <name val="Calibri"/>
      <family val="2"/>
      <scheme val="minor"/>
    </font>
    <font>
      <sz val="9"/>
      <color theme="1"/>
      <name val="Arial Narrow"/>
      <family val="2"/>
    </font>
    <font>
      <sz val="9"/>
      <name val="Arial Narrow"/>
      <family val="2"/>
    </font>
    <font>
      <sz val="11"/>
      <color theme="1"/>
      <name val="Times New Roman"/>
      <family val="1"/>
    </font>
    <font>
      <sz val="12"/>
      <color theme="1"/>
      <name val="Times New Roman"/>
      <family val="1"/>
    </font>
    <font>
      <sz val="11"/>
      <color theme="0"/>
      <name val="Times New Roman"/>
      <family val="1"/>
    </font>
    <font>
      <b/>
      <sz val="11"/>
      <color theme="0"/>
      <name val="Times New Roman"/>
      <family val="1"/>
    </font>
    <font>
      <sz val="12"/>
      <color theme="0"/>
      <name val="Times New Roman"/>
      <family val="1"/>
    </font>
    <font>
      <sz val="9"/>
      <color theme="1"/>
      <name val="Times New Roman"/>
      <family val="1"/>
    </font>
    <font>
      <b/>
      <sz val="11"/>
      <color theme="1"/>
      <name val="Times New Roman"/>
      <family val="1"/>
    </font>
    <font>
      <sz val="14"/>
      <color theme="0"/>
      <name val="Times New Roman"/>
      <family val="1"/>
    </font>
    <font>
      <sz val="14"/>
      <color theme="1"/>
      <name val="Calibri"/>
      <family val="2"/>
      <scheme val="minor"/>
    </font>
    <font>
      <sz val="14"/>
      <color theme="1"/>
      <name val="Times New Roman"/>
      <family val="1"/>
    </font>
    <font>
      <b/>
      <sz val="11"/>
      <color rgb="FF000000"/>
      <name val="Times New Roman"/>
      <family val="1"/>
    </font>
    <font>
      <sz val="11"/>
      <color theme="1"/>
      <name val="Arial Narrow"/>
      <family val="2"/>
    </font>
    <font>
      <sz val="9"/>
      <name val="Times New Roman"/>
      <family val="1"/>
    </font>
    <font>
      <sz val="9"/>
      <color rgb="FF000000"/>
      <name val="Times New Roman"/>
      <family val="1"/>
    </font>
    <font>
      <sz val="8"/>
      <color indexed="81"/>
      <name val="Times New Roman"/>
      <family val="1"/>
    </font>
    <font>
      <b/>
      <sz val="9"/>
      <name val="Times New Roman"/>
      <family val="1"/>
    </font>
    <font>
      <b/>
      <sz val="8"/>
      <name val="Arial Narrow"/>
      <family val="2"/>
    </font>
    <font>
      <b/>
      <sz val="11"/>
      <color rgb="FF000000"/>
      <name val="Arial Narrow"/>
      <family val="2"/>
    </font>
    <font>
      <b/>
      <sz val="8"/>
      <name val="Times New Roman"/>
      <family val="1"/>
    </font>
    <font>
      <sz val="8"/>
      <color theme="1"/>
      <name val="Arial Narrow"/>
      <family val="2"/>
    </font>
    <font>
      <b/>
      <sz val="12"/>
      <color theme="1"/>
      <name val="Times New Roman"/>
      <family val="1"/>
    </font>
    <font>
      <b/>
      <sz val="9"/>
      <color theme="1"/>
      <name val="Times New Roman"/>
      <family val="1"/>
    </font>
    <font>
      <b/>
      <sz val="9"/>
      <name val="Calibri"/>
      <family val="2"/>
      <charset val="1"/>
    </font>
    <font>
      <b/>
      <sz val="14"/>
      <name val="Calibri"/>
      <family val="2"/>
      <charset val="1"/>
    </font>
    <font>
      <sz val="8"/>
      <color theme="1"/>
      <name val="Times New Roman"/>
      <family val="1"/>
    </font>
    <font>
      <i/>
      <sz val="8"/>
      <color theme="1"/>
      <name val="Times New Roman"/>
      <family val="1"/>
    </font>
    <font>
      <sz val="8"/>
      <name val="Times New Roman"/>
      <family val="1"/>
    </font>
    <font>
      <sz val="12"/>
      <name val="Times New Roman"/>
      <family val="1"/>
    </font>
    <font>
      <sz val="9"/>
      <color rgb="FFFF0000"/>
      <name val="Times New Roman"/>
      <family val="1"/>
    </font>
    <font>
      <b/>
      <sz val="9"/>
      <color rgb="FFFF0000"/>
      <name val="Times New Roman"/>
      <family val="1"/>
    </font>
    <font>
      <sz val="11"/>
      <color rgb="FFFF0000"/>
      <name val="Times New Roman"/>
      <family val="1"/>
    </font>
    <font>
      <b/>
      <sz val="9"/>
      <color theme="0"/>
      <name val="Times New Roman"/>
      <family val="1"/>
    </font>
    <font>
      <sz val="9"/>
      <color theme="0"/>
      <name val="Times New Roman"/>
      <family val="1"/>
    </font>
    <font>
      <b/>
      <sz val="9"/>
      <color rgb="FF000000"/>
      <name val="Times New Roman"/>
      <family val="1"/>
    </font>
    <font>
      <i/>
      <sz val="9"/>
      <color theme="1"/>
      <name val="Times New Roman"/>
      <family val="1"/>
    </font>
    <font>
      <sz val="9"/>
      <color theme="1"/>
      <name val="Calibri"/>
      <family val="2"/>
      <scheme val="minor"/>
    </font>
    <font>
      <sz val="11"/>
      <color indexed="81"/>
      <name val="Tahoma"/>
      <family val="2"/>
    </font>
    <font>
      <sz val="12"/>
      <color rgb="FF000000"/>
      <name val="Times New Roman"/>
      <family val="1"/>
    </font>
    <font>
      <b/>
      <sz val="12"/>
      <name val="Times New Roman"/>
      <family val="1"/>
    </font>
    <font>
      <sz val="14"/>
      <name val="Times New Roman"/>
      <family val="1"/>
    </font>
    <font>
      <sz val="11"/>
      <name val="Calibri"/>
      <family val="2"/>
      <scheme val="minor"/>
    </font>
    <font>
      <sz val="11"/>
      <color rgb="FF000000"/>
      <name val="Times New Roman"/>
      <family val="1"/>
    </font>
    <font>
      <sz val="10"/>
      <color theme="0"/>
      <name val="Times New Roman"/>
      <family val="1"/>
    </font>
    <font>
      <sz val="10"/>
      <name val="Times New Roman"/>
      <family val="1"/>
    </font>
    <font>
      <sz val="11"/>
      <color indexed="8"/>
      <name val="Times New Roman"/>
      <family val="1"/>
    </font>
    <font>
      <sz val="8"/>
      <color rgb="FF000000"/>
      <name val="Times New Roman"/>
      <family val="1"/>
    </font>
    <font>
      <sz val="8"/>
      <color theme="1"/>
      <name val="Calibri"/>
      <family val="2"/>
      <scheme val="minor"/>
    </font>
    <font>
      <b/>
      <sz val="8"/>
      <color theme="1"/>
      <name val="Calibri"/>
      <family val="2"/>
      <scheme val="minor"/>
    </font>
    <font>
      <sz val="10"/>
      <name val="MS Sans Serif"/>
      <family val="2"/>
    </font>
    <font>
      <b/>
      <sz val="14"/>
      <color theme="0"/>
      <name val="Times New Roman"/>
      <family val="1"/>
    </font>
    <font>
      <i/>
      <sz val="12"/>
      <name val="Times New Roman"/>
      <family val="1"/>
    </font>
    <font>
      <b/>
      <i/>
      <sz val="12"/>
      <name val="Times New Roman"/>
      <family val="1"/>
    </font>
    <font>
      <i/>
      <sz val="10"/>
      <name val="Times New Roman"/>
      <family val="1"/>
    </font>
    <font>
      <b/>
      <sz val="10"/>
      <name val="Times New Roman"/>
      <family val="1"/>
    </font>
    <font>
      <b/>
      <sz val="12"/>
      <color theme="1"/>
      <name val="Calibri"/>
      <family val="2"/>
      <scheme val="minor"/>
    </font>
    <font>
      <b/>
      <sz val="8"/>
      <color theme="1"/>
      <name val="Arial Narrow"/>
      <family val="2"/>
    </font>
    <font>
      <b/>
      <sz val="12"/>
      <color rgb="FF000000"/>
      <name val="Times New Roman"/>
      <family val="1"/>
    </font>
    <font>
      <b/>
      <sz val="14"/>
      <name val="Times New Roman"/>
      <family val="1"/>
    </font>
    <font>
      <sz val="11"/>
      <name val="Times New Roman"/>
      <family val="1"/>
    </font>
    <font>
      <b/>
      <u/>
      <sz val="12"/>
      <color theme="1"/>
      <name val="Arial Narrow"/>
      <family val="2"/>
    </font>
    <font>
      <b/>
      <sz val="12"/>
      <color theme="1"/>
      <name val="Arial Narrow"/>
      <family val="2"/>
    </font>
    <font>
      <sz val="12"/>
      <name val="Arial Narrow"/>
      <family val="2"/>
    </font>
    <font>
      <sz val="12"/>
      <color rgb="FF000000"/>
      <name val="Arial Narrow"/>
      <family val="2"/>
    </font>
    <font>
      <b/>
      <sz val="12"/>
      <name val="Arial Narrow"/>
      <family val="2"/>
    </font>
    <font>
      <u/>
      <sz val="12"/>
      <color theme="1"/>
      <name val="Arial Narrow"/>
      <family val="2"/>
    </font>
    <font>
      <b/>
      <sz val="12"/>
      <color theme="0"/>
      <name val="Times New Roman"/>
      <family val="1"/>
    </font>
    <font>
      <sz val="20"/>
      <color theme="1"/>
      <name val="Calibri"/>
      <family val="2"/>
      <scheme val="minor"/>
    </font>
    <font>
      <sz val="10"/>
      <color theme="1"/>
      <name val="Calibri"/>
      <family val="2"/>
      <scheme val="minor"/>
    </font>
    <font>
      <b/>
      <sz val="11"/>
      <color theme="0"/>
      <name val="Calibri"/>
      <family val="2"/>
      <scheme val="minor"/>
    </font>
    <font>
      <sz val="8"/>
      <name val="Calibri"/>
      <family val="2"/>
      <scheme val="minor"/>
    </font>
    <font>
      <b/>
      <sz val="11"/>
      <name val="Times New Roman"/>
      <family val="1"/>
    </font>
    <font>
      <i/>
      <sz val="14"/>
      <color theme="0"/>
      <name val="Times New Roman"/>
      <family val="1"/>
    </font>
    <font>
      <sz val="12"/>
      <name val="Calibri"/>
      <family val="2"/>
      <scheme val="minor"/>
    </font>
    <font>
      <sz val="12"/>
      <color theme="0"/>
      <name val="Calibri Light"/>
      <family val="2"/>
    </font>
    <font>
      <b/>
      <sz val="10"/>
      <name val="Calibri Light"/>
      <family val="2"/>
    </font>
    <font>
      <sz val="12"/>
      <color theme="0"/>
      <name val="Arial Narrow"/>
      <family val="2"/>
    </font>
    <font>
      <sz val="12"/>
      <color theme="0"/>
      <name val="Calibri"/>
      <family val="2"/>
      <scheme val="minor"/>
    </font>
    <font>
      <b/>
      <sz val="11"/>
      <color theme="1"/>
      <name val="Arial Narrow"/>
      <family val="2"/>
    </font>
  </fonts>
  <fills count="14">
    <fill>
      <patternFill patternType="none"/>
    </fill>
    <fill>
      <patternFill patternType="gray125"/>
    </fill>
    <fill>
      <patternFill patternType="solid">
        <fgColor theme="4"/>
        <bgColor indexed="64"/>
      </patternFill>
    </fill>
    <fill>
      <patternFill patternType="solid">
        <fgColor rgb="FFC00000"/>
        <bgColor indexed="64"/>
      </patternFill>
    </fill>
    <fill>
      <patternFill patternType="solid">
        <fgColor rgb="FFFFFF00"/>
        <bgColor indexed="64"/>
      </patternFill>
    </fill>
    <fill>
      <patternFill patternType="solid">
        <fgColor rgb="FF00B0F0"/>
        <bgColor indexed="64"/>
      </patternFill>
    </fill>
    <fill>
      <patternFill patternType="solid">
        <fgColor rgb="FF00B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5"/>
        <bgColor indexed="64"/>
      </patternFill>
    </fill>
    <fill>
      <patternFill patternType="solid">
        <fgColor theme="5" tint="-0.249977111117893"/>
        <bgColor indexed="64"/>
      </patternFill>
    </fill>
    <fill>
      <patternFill patternType="solid">
        <fgColor rgb="FFFF0000"/>
        <bgColor indexed="64"/>
      </patternFill>
    </fill>
    <fill>
      <patternFill patternType="solid">
        <fgColor theme="4" tint="0.7999816888943144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ashed">
        <color indexed="8"/>
      </left>
      <right style="dashed">
        <color indexed="8"/>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58" fillId="0" borderId="0"/>
    <xf numFmtId="0" fontId="1" fillId="0" borderId="0"/>
  </cellStyleXfs>
  <cellXfs count="739">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7" fillId="0" borderId="0" xfId="0" applyFont="1"/>
    <xf numFmtId="0" fontId="6" fillId="0" borderId="0" xfId="0" applyFont="1" applyAlignment="1">
      <alignment horizontal="center" vertical="center" wrapText="1"/>
    </xf>
    <xf numFmtId="0" fontId="6" fillId="0" borderId="1" xfId="0" applyFont="1" applyBorder="1" applyAlignment="1">
      <alignment horizontal="center" vertical="center" wrapText="1"/>
    </xf>
    <xf numFmtId="0" fontId="10" fillId="0" borderId="0" xfId="0" applyFont="1"/>
    <xf numFmtId="0" fontId="11" fillId="0" borderId="0" xfId="0" applyFont="1"/>
    <xf numFmtId="9" fontId="10" fillId="0" borderId="0" xfId="0" applyNumberFormat="1" applyFont="1"/>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0" fontId="0" fillId="0" borderId="0" xfId="0" applyAlignment="1">
      <alignment horizontal="center"/>
    </xf>
    <xf numFmtId="10" fontId="10" fillId="0" borderId="1" xfId="0" applyNumberFormat="1" applyFont="1" applyBorder="1" applyAlignment="1">
      <alignment horizontal="center" vertical="center" wrapText="1"/>
    </xf>
    <xf numFmtId="0" fontId="10" fillId="0" borderId="0" xfId="0" applyFont="1" applyProtection="1">
      <protection locked="0"/>
    </xf>
    <xf numFmtId="0" fontId="10" fillId="0" borderId="0" xfId="0" applyFont="1" applyAlignment="1">
      <alignment horizontal="center"/>
    </xf>
    <xf numFmtId="2" fontId="10" fillId="4" borderId="1" xfId="0" applyNumberFormat="1" applyFont="1" applyFill="1" applyBorder="1" applyAlignment="1">
      <alignment horizontal="center" vertical="center" wrapText="1"/>
    </xf>
    <xf numFmtId="0" fontId="15" fillId="0" borderId="0" xfId="0" applyFont="1"/>
    <xf numFmtId="0" fontId="18" fillId="0" borderId="0" xfId="0" applyFont="1"/>
    <xf numFmtId="0" fontId="17" fillId="6" borderId="1" xfId="0" applyFont="1" applyFill="1" applyBorder="1" applyAlignment="1">
      <alignment horizontal="center" vertical="center" wrapText="1"/>
    </xf>
    <xf numFmtId="10" fontId="17" fillId="6" borderId="1" xfId="0" applyNumberFormat="1" applyFont="1" applyFill="1" applyBorder="1" applyAlignment="1">
      <alignment horizontal="center" vertical="center" wrapText="1"/>
    </xf>
    <xf numFmtId="0" fontId="19" fillId="0" borderId="0" xfId="0" applyFont="1"/>
    <xf numFmtId="0" fontId="21" fillId="0" borderId="0" xfId="0" applyFont="1"/>
    <xf numFmtId="4" fontId="23" fillId="0" borderId="1" xfId="0" applyNumberFormat="1" applyFont="1" applyBorder="1" applyAlignment="1">
      <alignment horizontal="center" vertical="center"/>
    </xf>
    <xf numFmtId="0" fontId="15" fillId="0" borderId="1" xfId="0" applyFont="1" applyBorder="1" applyAlignment="1">
      <alignment horizontal="center" vertical="center"/>
    </xf>
    <xf numFmtId="10" fontId="21" fillId="0" borderId="0" xfId="0" applyNumberFormat="1" applyFont="1"/>
    <xf numFmtId="0" fontId="27" fillId="0" borderId="0" xfId="0" applyFont="1" applyAlignment="1">
      <alignment horizontal="center"/>
    </xf>
    <xf numFmtId="167" fontId="27" fillId="0" borderId="0" xfId="0" applyNumberFormat="1" applyFont="1" applyAlignment="1">
      <alignment horizontal="center"/>
    </xf>
    <xf numFmtId="167" fontId="15" fillId="0" borderId="1" xfId="0" applyNumberFormat="1" applyFont="1" applyBorder="1" applyAlignment="1">
      <alignment horizontal="center" vertical="center"/>
    </xf>
    <xf numFmtId="2" fontId="15" fillId="0" borderId="1" xfId="0" applyNumberFormat="1" applyFont="1" applyBorder="1" applyAlignment="1">
      <alignment horizontal="center" vertical="center"/>
    </xf>
    <xf numFmtId="0" fontId="10" fillId="0" borderId="10" xfId="0" applyFont="1" applyBorder="1" applyAlignment="1">
      <alignment horizontal="center"/>
    </xf>
    <xf numFmtId="0" fontId="10" fillId="0" borderId="6" xfId="0" applyFont="1" applyBorder="1" applyAlignment="1">
      <alignment horizontal="center"/>
    </xf>
    <xf numFmtId="0" fontId="18" fillId="0" borderId="1" xfId="0" applyFont="1" applyBorder="1"/>
    <xf numFmtId="0" fontId="18" fillId="0" borderId="1" xfId="0" applyFont="1" applyBorder="1" applyAlignment="1">
      <alignment horizontal="center"/>
    </xf>
    <xf numFmtId="0" fontId="17" fillId="2" borderId="1" xfId="0" applyFont="1" applyFill="1" applyBorder="1" applyAlignment="1">
      <alignment horizontal="center" vertical="center" wrapText="1"/>
    </xf>
    <xf numFmtId="167" fontId="33" fillId="0" borderId="1" xfId="0" applyNumberFormat="1" applyFont="1" applyBorder="1" applyAlignment="1">
      <alignment horizontal="center" vertical="center" wrapText="1"/>
    </xf>
    <xf numFmtId="169" fontId="33" fillId="0" borderId="1" xfId="0" applyNumberFormat="1" applyFont="1" applyBorder="1" applyAlignment="1">
      <alignment horizontal="center" vertical="center" wrapText="1"/>
    </xf>
    <xf numFmtId="0" fontId="8" fillId="0" borderId="0" xfId="0" applyFont="1"/>
    <xf numFmtId="10" fontId="22" fillId="0" borderId="1" xfId="2" applyNumberFormat="1" applyFont="1" applyBorder="1" applyAlignment="1">
      <alignment horizontal="center" vertical="center"/>
    </xf>
    <xf numFmtId="0" fontId="34" fillId="0" borderId="0" xfId="0" applyFont="1"/>
    <xf numFmtId="0" fontId="10" fillId="0" borderId="1" xfId="0" applyFont="1" applyBorder="1"/>
    <xf numFmtId="0" fontId="35" fillId="0" borderId="0" xfId="0" applyFont="1" applyAlignment="1">
      <alignment horizontal="center" vertical="center" wrapText="1"/>
    </xf>
    <xf numFmtId="170" fontId="37" fillId="0" borderId="6" xfId="1" applyNumberFormat="1" applyFont="1" applyBorder="1" applyAlignment="1">
      <alignment horizontal="right" vertical="center"/>
    </xf>
    <xf numFmtId="166" fontId="22" fillId="0" borderId="6" xfId="2" applyNumberFormat="1" applyFont="1" applyBorder="1" applyAlignment="1">
      <alignment horizontal="right" vertical="center"/>
    </xf>
    <xf numFmtId="43" fontId="37" fillId="4" borderId="12" xfId="1" applyFont="1" applyFill="1" applyBorder="1" applyAlignment="1">
      <alignment horizontal="right" vertical="center"/>
    </xf>
    <xf numFmtId="170" fontId="37" fillId="0" borderId="6" xfId="1" applyNumberFormat="1" applyFont="1" applyBorder="1" applyAlignment="1">
      <alignment horizontal="center" vertical="center"/>
    </xf>
    <xf numFmtId="10" fontId="22" fillId="0" borderId="6" xfId="2" applyNumberFormat="1" applyFont="1" applyBorder="1" applyAlignment="1">
      <alignment horizontal="center" vertical="center"/>
    </xf>
    <xf numFmtId="166" fontId="22" fillId="0" borderId="6" xfId="2" applyNumberFormat="1" applyFont="1" applyBorder="1" applyAlignment="1">
      <alignment horizontal="center" vertical="center"/>
    </xf>
    <xf numFmtId="167" fontId="10" fillId="4" borderId="0" xfId="0" applyNumberFormat="1" applyFont="1" applyFill="1" applyAlignment="1">
      <alignment horizontal="right"/>
    </xf>
    <xf numFmtId="169" fontId="10" fillId="4" borderId="0" xfId="0" applyNumberFormat="1" applyFont="1" applyFill="1" applyAlignment="1">
      <alignment horizontal="right"/>
    </xf>
    <xf numFmtId="164" fontId="22" fillId="0" borderId="6" xfId="2" applyNumberFormat="1" applyFont="1" applyBorder="1" applyAlignment="1">
      <alignment horizontal="center" vertical="center"/>
    </xf>
    <xf numFmtId="164" fontId="22" fillId="0" borderId="6" xfId="2" applyNumberFormat="1" applyFont="1" applyFill="1" applyBorder="1" applyAlignment="1">
      <alignment horizontal="center" vertical="center"/>
    </xf>
    <xf numFmtId="164" fontId="22" fillId="0" borderId="1" xfId="2" applyNumberFormat="1" applyFont="1" applyFill="1" applyBorder="1" applyAlignment="1">
      <alignment horizontal="center" vertical="center"/>
    </xf>
    <xf numFmtId="10" fontId="38" fillId="0" borderId="6" xfId="2" applyNumberFormat="1" applyFont="1" applyBorder="1" applyAlignment="1">
      <alignment horizontal="center" vertical="center"/>
    </xf>
    <xf numFmtId="0" fontId="15" fillId="4" borderId="5" xfId="0" applyFont="1" applyFill="1" applyBorder="1" applyAlignment="1">
      <alignment horizontal="center"/>
    </xf>
    <xf numFmtId="0" fontId="15" fillId="4" borderId="6" xfId="0" applyFont="1" applyFill="1" applyBorder="1" applyAlignment="1">
      <alignment horizontal="center"/>
    </xf>
    <xf numFmtId="0" fontId="22" fillId="0" borderId="1" xfId="0" applyFont="1" applyBorder="1" applyAlignment="1">
      <alignment horizontal="left" vertical="center"/>
    </xf>
    <xf numFmtId="0" fontId="37" fillId="0" borderId="6" xfId="0" applyFont="1" applyBorder="1" applyAlignment="1">
      <alignment horizontal="center" vertical="center"/>
    </xf>
    <xf numFmtId="10" fontId="22" fillId="0" borderId="0" xfId="2" applyNumberFormat="1" applyFont="1" applyBorder="1" applyAlignment="1">
      <alignment horizontal="center" vertical="center"/>
    </xf>
    <xf numFmtId="0" fontId="15" fillId="0" borderId="0" xfId="0" applyFont="1" applyAlignment="1">
      <alignment horizontal="center" vertical="center"/>
    </xf>
    <xf numFmtId="10" fontId="22" fillId="0" borderId="6" xfId="2" applyNumberFormat="1" applyFont="1" applyBorder="1" applyAlignment="1">
      <alignment horizontal="right" vertical="center"/>
    </xf>
    <xf numFmtId="169" fontId="10" fillId="0" borderId="1" xfId="0" applyNumberFormat="1" applyFont="1" applyBorder="1" applyAlignment="1">
      <alignment horizontal="right" vertical="center"/>
    </xf>
    <xf numFmtId="0" fontId="15" fillId="0" borderId="0" xfId="0" applyFont="1" applyAlignment="1">
      <alignment horizontal="center" vertical="center" wrapText="1"/>
    </xf>
    <xf numFmtId="0" fontId="23" fillId="0" borderId="0" xfId="0" applyFont="1"/>
    <xf numFmtId="43" fontId="22" fillId="0" borderId="6" xfId="1" applyFont="1" applyBorder="1" applyAlignment="1">
      <alignment horizontal="right" vertical="center"/>
    </xf>
    <xf numFmtId="2" fontId="10" fillId="0" borderId="6" xfId="0" applyNumberFormat="1" applyFont="1" applyBorder="1" applyAlignment="1">
      <alignment horizontal="right" vertical="center"/>
    </xf>
    <xf numFmtId="0" fontId="23" fillId="0" borderId="0" xfId="0" applyFont="1" applyAlignment="1">
      <alignment horizontal="left"/>
    </xf>
    <xf numFmtId="9" fontId="22" fillId="0" borderId="1" xfId="2" applyFont="1" applyBorder="1" applyAlignment="1">
      <alignment horizontal="right" vertical="center"/>
    </xf>
    <xf numFmtId="0" fontId="22" fillId="0" borderId="5" xfId="0" applyFont="1" applyBorder="1" applyAlignment="1">
      <alignment vertical="center"/>
    </xf>
    <xf numFmtId="0" fontId="22" fillId="0" borderId="6" xfId="0" applyFont="1" applyBorder="1" applyAlignment="1">
      <alignment vertical="center"/>
    </xf>
    <xf numFmtId="43" fontId="39" fillId="0" borderId="1" xfId="1" applyFont="1" applyBorder="1" applyAlignment="1">
      <alignment horizontal="center" vertical="center"/>
    </xf>
    <xf numFmtId="2" fontId="10" fillId="0" borderId="1" xfId="0" applyNumberFormat="1" applyFont="1" applyBorder="1" applyAlignment="1">
      <alignment horizontal="center" vertical="center"/>
    </xf>
    <xf numFmtId="43" fontId="22" fillId="0" borderId="1" xfId="1" applyFont="1" applyBorder="1" applyAlignment="1">
      <alignment horizontal="center" vertical="center"/>
    </xf>
    <xf numFmtId="43" fontId="22" fillId="0" borderId="1" xfId="1" applyFont="1" applyBorder="1" applyAlignment="1">
      <alignment horizontal="right" vertical="center"/>
    </xf>
    <xf numFmtId="43" fontId="38" fillId="0" borderId="1" xfId="1" applyFont="1" applyBorder="1" applyAlignment="1">
      <alignment horizontal="center" vertical="center"/>
    </xf>
    <xf numFmtId="0" fontId="40" fillId="0" borderId="0" xfId="0" applyFont="1"/>
    <xf numFmtId="171" fontId="39" fillId="0" borderId="6" xfId="1" applyNumberFormat="1" applyFont="1" applyBorder="1" applyAlignment="1">
      <alignment horizontal="right" vertical="center" wrapText="1"/>
    </xf>
    <xf numFmtId="171" fontId="39" fillId="0" borderId="1" xfId="1" applyNumberFormat="1" applyFont="1" applyBorder="1" applyAlignment="1">
      <alignment horizontal="right" vertical="center" wrapText="1"/>
    </xf>
    <xf numFmtId="171" fontId="41" fillId="5" borderId="6" xfId="1" quotePrefix="1" applyNumberFormat="1" applyFont="1" applyFill="1" applyBorder="1" applyAlignment="1">
      <alignment horizontal="center" vertical="center" wrapText="1"/>
    </xf>
    <xf numFmtId="171" fontId="41" fillId="0" borderId="1" xfId="1" applyNumberFormat="1" applyFont="1" applyFill="1" applyBorder="1" applyAlignment="1">
      <alignment horizontal="right" vertical="center" wrapText="1"/>
    </xf>
    <xf numFmtId="43" fontId="15" fillId="0" borderId="1" xfId="1" applyFont="1" applyBorder="1" applyAlignment="1">
      <alignment horizontal="center" vertical="center" wrapText="1"/>
    </xf>
    <xf numFmtId="172" fontId="42" fillId="5" borderId="1" xfId="1" applyNumberFormat="1" applyFont="1" applyFill="1" applyBorder="1" applyAlignment="1">
      <alignment horizontal="center" vertical="center" wrapText="1"/>
    </xf>
    <xf numFmtId="2" fontId="22" fillId="0" borderId="0" xfId="0" applyNumberFormat="1" applyFont="1" applyAlignment="1">
      <alignment horizontal="right"/>
    </xf>
    <xf numFmtId="172" fontId="42" fillId="5" borderId="0" xfId="1" applyNumberFormat="1" applyFont="1" applyFill="1" applyBorder="1" applyAlignment="1">
      <alignment horizontal="center" vertical="center" wrapText="1"/>
    </xf>
    <xf numFmtId="43" fontId="15" fillId="0" borderId="0" xfId="1" applyFont="1" applyBorder="1" applyAlignment="1">
      <alignment horizontal="center" vertical="center" wrapText="1"/>
    </xf>
    <xf numFmtId="43" fontId="39" fillId="0" borderId="1" xfId="1" applyFont="1" applyBorder="1" applyAlignment="1">
      <alignment horizontal="right" vertical="center"/>
    </xf>
    <xf numFmtId="2" fontId="15" fillId="0" borderId="0" xfId="0" applyNumberFormat="1" applyFont="1" applyAlignment="1">
      <alignment horizontal="right"/>
    </xf>
    <xf numFmtId="0" fontId="43" fillId="0" borderId="0" xfId="0" applyFont="1" applyAlignment="1">
      <alignment horizontal="center" vertical="center" wrapText="1"/>
    </xf>
    <xf numFmtId="0" fontId="15" fillId="0" borderId="0" xfId="0" quotePrefix="1" applyFont="1"/>
    <xf numFmtId="167" fontId="10" fillId="0" borderId="0" xfId="0" applyNumberFormat="1" applyFont="1" applyAlignment="1">
      <alignment horizontal="right"/>
    </xf>
    <xf numFmtId="169" fontId="10" fillId="0" borderId="0" xfId="0" applyNumberFormat="1" applyFont="1" applyAlignment="1">
      <alignment horizontal="right"/>
    </xf>
    <xf numFmtId="0" fontId="30"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44" fillId="0" borderId="1" xfId="0" applyFont="1" applyBorder="1" applyAlignment="1">
      <alignment horizontal="center" vertical="center" wrapText="1"/>
    </xf>
    <xf numFmtId="10" fontId="15" fillId="0" borderId="1" xfId="0" applyNumberFormat="1" applyFont="1" applyBorder="1" applyAlignment="1">
      <alignment horizontal="center" vertical="center" wrapText="1"/>
    </xf>
    <xf numFmtId="10" fontId="11" fillId="0" borderId="1" xfId="1" applyNumberFormat="1" applyFont="1" applyBorder="1" applyAlignment="1">
      <alignment horizontal="center" vertical="center" wrapText="1"/>
    </xf>
    <xf numFmtId="10" fontId="11"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167" fontId="31" fillId="0" borderId="1" xfId="0" applyNumberFormat="1" applyFont="1" applyBorder="1" applyAlignment="1">
      <alignment horizontal="center" vertical="center" wrapText="1"/>
    </xf>
    <xf numFmtId="10" fontId="31" fillId="0" borderId="1" xfId="0" applyNumberFormat="1" applyFont="1" applyBorder="1" applyAlignment="1">
      <alignment horizontal="center" vertical="center" wrapText="1"/>
    </xf>
    <xf numFmtId="10" fontId="30" fillId="0" borderId="1" xfId="0" applyNumberFormat="1" applyFont="1" applyBorder="1" applyAlignment="1">
      <alignment horizontal="center" vertical="center" wrapText="1"/>
    </xf>
    <xf numFmtId="167" fontId="31" fillId="0" borderId="0" xfId="0" applyNumberFormat="1" applyFont="1" applyAlignment="1">
      <alignment horizontal="center" vertical="center" wrapText="1"/>
    </xf>
    <xf numFmtId="10" fontId="31" fillId="0" borderId="0" xfId="0" applyNumberFormat="1" applyFont="1" applyAlignment="1">
      <alignment horizontal="center" vertical="center" wrapText="1"/>
    </xf>
    <xf numFmtId="10" fontId="30" fillId="0" borderId="0" xfId="0" applyNumberFormat="1" applyFont="1" applyAlignment="1">
      <alignment horizontal="center" vertical="center" wrapText="1"/>
    </xf>
    <xf numFmtId="167" fontId="11" fillId="0" borderId="0" xfId="0" applyNumberFormat="1" applyFont="1" applyAlignment="1">
      <alignment horizontal="center" vertical="center" wrapText="1"/>
    </xf>
    <xf numFmtId="167" fontId="30" fillId="0" borderId="1" xfId="0" applyNumberFormat="1" applyFont="1" applyBorder="1" applyAlignment="1">
      <alignment horizontal="center" vertical="center" wrapText="1"/>
    </xf>
    <xf numFmtId="0" fontId="11" fillId="0" borderId="0" xfId="0" applyFont="1" applyAlignment="1">
      <alignment horizontal="right"/>
    </xf>
    <xf numFmtId="43" fontId="15" fillId="0" borderId="0" xfId="1" quotePrefix="1" applyFont="1" applyBorder="1" applyAlignment="1">
      <alignment horizontal="right"/>
    </xf>
    <xf numFmtId="0" fontId="10" fillId="0" borderId="0" xfId="0" applyFont="1" applyAlignment="1">
      <alignment horizontal="right"/>
    </xf>
    <xf numFmtId="0" fontId="16" fillId="0" borderId="1" xfId="0" applyFont="1" applyBorder="1" applyAlignment="1">
      <alignment horizontal="center" vertical="center" wrapText="1"/>
    </xf>
    <xf numFmtId="0" fontId="10" fillId="0" borderId="1" xfId="0" applyFont="1" applyBorder="1" applyAlignment="1">
      <alignment horizontal="right" vertical="center" wrapText="1"/>
    </xf>
    <xf numFmtId="10" fontId="10" fillId="0" borderId="1" xfId="2" applyNumberFormat="1" applyFont="1" applyBorder="1" applyAlignment="1">
      <alignment horizontal="right" vertical="center" wrapText="1"/>
    </xf>
    <xf numFmtId="0" fontId="10" fillId="0" borderId="0" xfId="0" applyFont="1" applyAlignment="1">
      <alignment horizontal="right" vertical="center" wrapText="1"/>
    </xf>
    <xf numFmtId="169" fontId="0" fillId="0" borderId="0" xfId="0" applyNumberFormat="1" applyAlignment="1">
      <alignment horizontal="right"/>
    </xf>
    <xf numFmtId="0" fontId="45" fillId="0" borderId="0" xfId="0" applyFont="1"/>
    <xf numFmtId="167" fontId="0" fillId="0" borderId="0" xfId="0" applyNumberFormat="1" applyAlignment="1">
      <alignment horizontal="right"/>
    </xf>
    <xf numFmtId="0" fontId="11" fillId="0" borderId="1" xfId="0" applyFont="1" applyBorder="1" applyAlignment="1">
      <alignment horizontal="center" vertical="center" wrapText="1"/>
    </xf>
    <xf numFmtId="43" fontId="11" fillId="0" borderId="1" xfId="1" applyFont="1" applyBorder="1" applyAlignment="1">
      <alignment horizontal="center" vertical="center" wrapText="1"/>
    </xf>
    <xf numFmtId="10" fontId="47" fillId="0" borderId="1" xfId="2" applyNumberFormat="1" applyFont="1" applyFill="1" applyBorder="1" applyAlignment="1">
      <alignment horizontal="center" vertical="center"/>
    </xf>
    <xf numFmtId="10" fontId="47" fillId="0" borderId="1" xfId="2" quotePrefix="1" applyNumberFormat="1" applyFont="1" applyBorder="1" applyAlignment="1">
      <alignment horizontal="center" vertical="center"/>
    </xf>
    <xf numFmtId="4" fontId="47"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xf>
    <xf numFmtId="10" fontId="37" fillId="0" borderId="1" xfId="2" quotePrefix="1" applyNumberFormat="1" applyFont="1" applyFill="1" applyBorder="1" applyAlignment="1">
      <alignment horizontal="center" vertical="center"/>
    </xf>
    <xf numFmtId="10" fontId="37" fillId="0" borderId="1" xfId="2" applyNumberFormat="1" applyFont="1" applyFill="1" applyBorder="1" applyAlignment="1">
      <alignment horizontal="center" vertical="center"/>
    </xf>
    <xf numFmtId="10" fontId="11" fillId="0" borderId="1" xfId="2" applyNumberFormat="1" applyFont="1" applyBorder="1" applyAlignment="1">
      <alignment horizontal="center" vertical="center"/>
    </xf>
    <xf numFmtId="168" fontId="37" fillId="0" borderId="1" xfId="2" applyNumberFormat="1" applyFont="1" applyFill="1" applyBorder="1" applyAlignment="1">
      <alignment horizontal="center" vertical="center"/>
    </xf>
    <xf numFmtId="14" fontId="10" fillId="4" borderId="1" xfId="0" applyNumberFormat="1" applyFont="1" applyFill="1" applyBorder="1" applyAlignment="1">
      <alignment horizontal="center" vertical="center" wrapText="1"/>
    </xf>
    <xf numFmtId="43" fontId="10" fillId="4" borderId="1" xfId="1" applyFont="1" applyFill="1" applyBorder="1" applyAlignment="1">
      <alignment horizontal="center" vertical="center" wrapText="1"/>
    </xf>
    <xf numFmtId="0" fontId="50" fillId="0" borderId="0" xfId="0" applyFont="1"/>
    <xf numFmtId="0" fontId="21" fillId="0" borderId="0" xfId="0" applyFont="1" applyAlignment="1">
      <alignment horizontal="center" vertical="center" wrapText="1"/>
    </xf>
    <xf numFmtId="4" fontId="51" fillId="0" borderId="1" xfId="0" applyNumberFormat="1" applyFont="1" applyBorder="1" applyAlignment="1">
      <alignment horizontal="center" vertical="center"/>
    </xf>
    <xf numFmtId="4" fontId="51" fillId="0" borderId="1" xfId="0" quotePrefix="1" applyNumberFormat="1" applyFont="1" applyBorder="1" applyAlignment="1">
      <alignment horizontal="center" vertical="center"/>
    </xf>
    <xf numFmtId="10" fontId="47" fillId="0" borderId="4" xfId="2" applyNumberFormat="1" applyFont="1" applyFill="1" applyBorder="1" applyAlignment="1">
      <alignment horizontal="center" vertical="center"/>
    </xf>
    <xf numFmtId="9" fontId="37" fillId="0" borderId="1" xfId="2" applyFont="1" applyFill="1" applyBorder="1" applyAlignment="1">
      <alignment horizontal="center" vertical="center"/>
    </xf>
    <xf numFmtId="173" fontId="36" fillId="0" borderId="11" xfId="1" applyNumberFormat="1" applyFont="1" applyFill="1" applyBorder="1" applyAlignment="1">
      <alignment horizontal="center" vertical="center"/>
    </xf>
    <xf numFmtId="174" fontId="52" fillId="6" borderId="7" xfId="1" applyNumberFormat="1" applyFont="1" applyFill="1" applyBorder="1" applyAlignment="1">
      <alignment horizontal="center" vertical="center" wrapText="1"/>
    </xf>
    <xf numFmtId="174" fontId="53" fillId="0" borderId="0" xfId="1" applyNumberFormat="1" applyFont="1" applyAlignment="1">
      <alignment horizontal="center" vertical="center" wrapText="1"/>
    </xf>
    <xf numFmtId="175" fontId="54" fillId="0" borderId="0" xfId="1" applyNumberFormat="1" applyFont="1"/>
    <xf numFmtId="0" fontId="0" fillId="0" borderId="8" xfId="0" applyBorder="1"/>
    <xf numFmtId="43" fontId="55" fillId="0" borderId="1" xfId="1" applyFont="1" applyBorder="1" applyAlignment="1">
      <alignment horizontal="center" vertical="center" wrapText="1"/>
    </xf>
    <xf numFmtId="43" fontId="55" fillId="0" borderId="1" xfId="1" applyFont="1" applyFill="1" applyBorder="1" applyAlignment="1">
      <alignment horizontal="center" vertical="center" wrapText="1"/>
    </xf>
    <xf numFmtId="43" fontId="55" fillId="0" borderId="0" xfId="1" applyFont="1" applyBorder="1" applyAlignment="1">
      <alignment horizontal="center" vertical="center" wrapText="1"/>
    </xf>
    <xf numFmtId="43" fontId="55" fillId="0" borderId="0" xfId="1" applyFont="1" applyFill="1" applyBorder="1" applyAlignment="1">
      <alignment horizontal="center" vertical="center" wrapText="1"/>
    </xf>
    <xf numFmtId="4" fontId="55" fillId="0" borderId="0" xfId="0" applyNumberFormat="1" applyFont="1" applyAlignment="1">
      <alignment horizontal="center" vertical="center" wrapText="1"/>
    </xf>
    <xf numFmtId="174" fontId="56" fillId="0" borderId="0" xfId="0" applyNumberFormat="1" applyFont="1" applyAlignment="1">
      <alignment horizontal="center" vertical="center" wrapText="1"/>
    </xf>
    <xf numFmtId="10" fontId="56" fillId="0" borderId="0" xfId="2" applyNumberFormat="1" applyFont="1" applyAlignment="1">
      <alignment horizontal="center" vertical="center" wrapText="1"/>
    </xf>
    <xf numFmtId="4" fontId="57" fillId="0" borderId="0" xfId="0" applyNumberFormat="1" applyFont="1" applyAlignment="1">
      <alignment horizontal="center" vertical="center" wrapText="1"/>
    </xf>
    <xf numFmtId="172" fontId="0" fillId="0" borderId="0" xfId="0" applyNumberFormat="1"/>
    <xf numFmtId="165" fontId="0" fillId="0" borderId="0" xfId="0" applyNumberFormat="1"/>
    <xf numFmtId="43" fontId="11" fillId="0" borderId="0" xfId="1" applyFont="1" applyBorder="1" applyAlignment="1">
      <alignment horizontal="center" vertical="center" wrapText="1"/>
    </xf>
    <xf numFmtId="9" fontId="11" fillId="0" borderId="1" xfId="0" applyNumberFormat="1" applyFont="1" applyBorder="1" applyAlignment="1">
      <alignment horizontal="center" vertical="center" wrapText="1"/>
    </xf>
    <xf numFmtId="174" fontId="56" fillId="0" borderId="0" xfId="0" applyNumberFormat="1" applyFont="1"/>
    <xf numFmtId="0" fontId="56" fillId="0" borderId="0" xfId="0" quotePrefix="1" applyFont="1"/>
    <xf numFmtId="0" fontId="56" fillId="0" borderId="0" xfId="0" applyFont="1"/>
    <xf numFmtId="165" fontId="56" fillId="0" borderId="0" xfId="0" applyNumberFormat="1" applyFont="1"/>
    <xf numFmtId="43" fontId="45" fillId="0" borderId="0" xfId="1" applyFont="1" applyBorder="1"/>
    <xf numFmtId="0" fontId="60" fillId="0" borderId="0" xfId="3" applyFont="1" applyAlignment="1">
      <alignment horizontal="right"/>
    </xf>
    <xf numFmtId="0" fontId="53" fillId="0" borderId="1" xfId="3" applyFont="1" applyBorder="1" applyAlignment="1">
      <alignment horizontal="left" vertical="center" wrapText="1"/>
    </xf>
    <xf numFmtId="0" fontId="53" fillId="0" borderId="0" xfId="3" applyFont="1" applyAlignment="1">
      <alignment horizontal="right"/>
    </xf>
    <xf numFmtId="3" fontId="53" fillId="0" borderId="0" xfId="3" applyNumberFormat="1" applyFont="1" applyAlignment="1">
      <alignment horizontal="right"/>
    </xf>
    <xf numFmtId="0" fontId="53" fillId="0" borderId="8" xfId="3" applyFont="1" applyBorder="1" applyAlignment="1">
      <alignment horizontal="left" vertical="center" wrapText="1"/>
    </xf>
    <xf numFmtId="0" fontId="53" fillId="0" borderId="1" xfId="3" applyFont="1" applyBorder="1" applyAlignment="1">
      <alignment horizontal="center" vertical="center" wrapText="1"/>
    </xf>
    <xf numFmtId="14" fontId="53" fillId="0" borderId="0" xfId="0" applyNumberFormat="1" applyFont="1" applyAlignment="1">
      <alignment horizontal="right"/>
    </xf>
    <xf numFmtId="2" fontId="53" fillId="0" borderId="1" xfId="3" applyNumberFormat="1" applyFont="1" applyBorder="1" applyAlignment="1">
      <alignment horizontal="center" vertical="center" wrapText="1"/>
    </xf>
    <xf numFmtId="0" fontId="37" fillId="0" borderId="1" xfId="3" applyFont="1" applyBorder="1" applyAlignment="1">
      <alignment horizontal="center" vertical="center" wrapText="1"/>
    </xf>
    <xf numFmtId="0" fontId="48" fillId="0" borderId="1" xfId="3" applyFont="1" applyBorder="1" applyAlignment="1">
      <alignment horizontal="center" vertical="center" wrapText="1"/>
    </xf>
    <xf numFmtId="14" fontId="11" fillId="0" borderId="1" xfId="0" applyNumberFormat="1" applyFont="1" applyBorder="1" applyAlignment="1">
      <alignment horizontal="center" vertical="center" wrapText="1"/>
    </xf>
    <xf numFmtId="4" fontId="53" fillId="0" borderId="1" xfId="3" applyNumberFormat="1" applyFont="1" applyBorder="1" applyAlignment="1">
      <alignment horizontal="center" vertical="center" wrapText="1"/>
    </xf>
    <xf numFmtId="0" fontId="62" fillId="0" borderId="1" xfId="3" applyFont="1" applyBorder="1" applyAlignment="1">
      <alignment horizontal="center" vertical="center" wrapText="1"/>
    </xf>
    <xf numFmtId="4" fontId="63" fillId="0" borderId="1" xfId="3" applyNumberFormat="1" applyFont="1" applyBorder="1" applyAlignment="1">
      <alignment horizontal="center" vertical="center" wrapText="1"/>
    </xf>
    <xf numFmtId="0" fontId="37" fillId="0" borderId="1" xfId="3" applyFont="1" applyBorder="1" applyAlignment="1">
      <alignment horizontal="left" vertical="center" wrapText="1"/>
    </xf>
    <xf numFmtId="10" fontId="47" fillId="0" borderId="1" xfId="1" applyNumberFormat="1" applyFont="1" applyBorder="1" applyAlignment="1">
      <alignment horizontal="center" vertical="center" wrapText="1"/>
    </xf>
    <xf numFmtId="174" fontId="7" fillId="0" borderId="1" xfId="0" applyNumberFormat="1" applyFont="1" applyBorder="1" applyAlignment="1">
      <alignment horizontal="center" vertical="center" wrapText="1"/>
    </xf>
    <xf numFmtId="43" fontId="7" fillId="0" borderId="0" xfId="1" applyFont="1" applyBorder="1" applyAlignment="1">
      <alignment horizontal="center"/>
    </xf>
    <xf numFmtId="4" fontId="64"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29" fillId="0" borderId="0" xfId="0" applyFont="1"/>
    <xf numFmtId="0" fontId="65" fillId="0" borderId="1" xfId="0" applyFont="1" applyBorder="1" applyAlignment="1">
      <alignment horizontal="center" vertical="center" wrapText="1"/>
    </xf>
    <xf numFmtId="43" fontId="66" fillId="0" borderId="1" xfId="1" applyFont="1" applyFill="1" applyBorder="1" applyAlignment="1">
      <alignment horizontal="center" vertical="center"/>
    </xf>
    <xf numFmtId="2" fontId="10" fillId="0" borderId="1" xfId="0" applyNumberFormat="1" applyFont="1" applyBorder="1" applyAlignment="1">
      <alignment vertical="center" wrapText="1"/>
    </xf>
    <xf numFmtId="0" fontId="10" fillId="0" borderId="1" xfId="0" quotePrefix="1" applyFont="1" applyBorder="1" applyAlignment="1">
      <alignment horizontal="center" vertical="center" wrapText="1"/>
    </xf>
    <xf numFmtId="164" fontId="0" fillId="0" borderId="0" xfId="2" applyNumberFormat="1" applyFont="1"/>
    <xf numFmtId="0" fontId="11" fillId="0" borderId="0" xfId="0" applyFont="1" applyAlignment="1">
      <alignment horizontal="center"/>
    </xf>
    <xf numFmtId="0" fontId="11" fillId="0" borderId="1" xfId="0" applyFont="1" applyBorder="1" applyAlignment="1">
      <alignment horizontal="center"/>
    </xf>
    <xf numFmtId="0" fontId="11" fillId="4" borderId="1" xfId="0" applyFont="1" applyFill="1" applyBorder="1" applyAlignment="1">
      <alignment horizontal="center" vertical="center" wrapText="1"/>
    </xf>
    <xf numFmtId="0" fontId="29" fillId="0" borderId="0" xfId="0" applyFont="1" applyAlignment="1">
      <alignment horizontal="center" vertical="center" wrapText="1"/>
    </xf>
    <xf numFmtId="172" fontId="0" fillId="0" borderId="0" xfId="0" applyNumberFormat="1" applyAlignment="1">
      <alignment horizontal="center" vertical="center" wrapText="1"/>
    </xf>
    <xf numFmtId="0" fontId="50" fillId="0" borderId="0" xfId="0" applyFont="1" applyAlignment="1">
      <alignment horizontal="center" vertical="center" wrapText="1"/>
    </xf>
    <xf numFmtId="0" fontId="11" fillId="0" borderId="0" xfId="0" applyFont="1" applyAlignment="1">
      <alignment vertical="center" wrapText="1"/>
    </xf>
    <xf numFmtId="10" fontId="11" fillId="0" borderId="1" xfId="2" applyNumberFormat="1" applyFont="1" applyFill="1" applyBorder="1" applyAlignment="1">
      <alignment horizontal="center" vertical="center"/>
    </xf>
    <xf numFmtId="0" fontId="6" fillId="4" borderId="1" xfId="0" applyFont="1" applyFill="1" applyBorder="1" applyAlignment="1">
      <alignment horizontal="center" vertical="center" wrapText="1"/>
    </xf>
    <xf numFmtId="14" fontId="11" fillId="0" borderId="0" xfId="0" applyNumberFormat="1" applyFont="1" applyAlignment="1">
      <alignment horizontal="center" vertical="center" wrapText="1"/>
    </xf>
    <xf numFmtId="2" fontId="11" fillId="0" borderId="1" xfId="0" applyNumberFormat="1" applyFont="1" applyBorder="1" applyAlignment="1">
      <alignment horizontal="center" vertical="center" wrapText="1"/>
    </xf>
    <xf numFmtId="0" fontId="71" fillId="0" borderId="1" xfId="0" applyFont="1" applyBorder="1" applyAlignment="1">
      <alignment horizontal="center" vertical="center" wrapText="1"/>
    </xf>
    <xf numFmtId="43" fontId="6" fillId="4" borderId="1" xfId="1" applyFont="1" applyFill="1" applyBorder="1" applyAlignment="1">
      <alignment horizontal="center" vertical="center" wrapText="1"/>
    </xf>
    <xf numFmtId="43" fontId="6" fillId="0" borderId="1" xfId="1" applyFont="1" applyFill="1" applyBorder="1" applyAlignment="1">
      <alignment horizontal="center" vertical="center" wrapText="1"/>
    </xf>
    <xf numFmtId="4" fontId="72"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9" fillId="0" borderId="1" xfId="0" applyFont="1" applyBorder="1" applyAlignment="1">
      <alignment horizontal="center" vertical="center" wrapText="1"/>
    </xf>
    <xf numFmtId="0" fontId="74" fillId="0" borderId="1" xfId="0" applyFont="1" applyBorder="1" applyAlignment="1">
      <alignment horizontal="center" vertical="center" wrapText="1"/>
    </xf>
    <xf numFmtId="10" fontId="47" fillId="0" borderId="2" xfId="2" applyNumberFormat="1" applyFont="1" applyFill="1" applyBorder="1" applyAlignment="1">
      <alignment horizontal="center" vertical="center"/>
    </xf>
    <xf numFmtId="165" fontId="21" fillId="0" borderId="0" xfId="0" applyNumberFormat="1" applyFont="1"/>
    <xf numFmtId="164" fontId="11" fillId="0" borderId="0" xfId="0" applyNumberFormat="1" applyFont="1"/>
    <xf numFmtId="2" fontId="11" fillId="0" borderId="1" xfId="0" applyNumberFormat="1" applyFont="1" applyBorder="1"/>
    <xf numFmtId="10" fontId="11" fillId="0" borderId="0" xfId="0" applyNumberFormat="1" applyFont="1" applyAlignment="1">
      <alignment horizontal="center"/>
    </xf>
    <xf numFmtId="43" fontId="11" fillId="0" borderId="1" xfId="1" applyFont="1" applyBorder="1" applyAlignment="1">
      <alignment horizontal="center" vertical="center"/>
    </xf>
    <xf numFmtId="9" fontId="11" fillId="0" borderId="1" xfId="2" applyFont="1" applyBorder="1" applyAlignment="1">
      <alignment horizontal="center" vertical="center"/>
    </xf>
    <xf numFmtId="4" fontId="11" fillId="0" borderId="1" xfId="0" applyNumberFormat="1" applyFont="1" applyBorder="1" applyAlignment="1">
      <alignment horizontal="center"/>
    </xf>
    <xf numFmtId="10" fontId="11" fillId="0" borderId="1" xfId="0" applyNumberFormat="1" applyFont="1" applyBorder="1" applyAlignment="1">
      <alignment horizontal="center"/>
    </xf>
    <xf numFmtId="10" fontId="11" fillId="0" borderId="1" xfId="2" applyNumberFormat="1" applyFont="1" applyBorder="1"/>
    <xf numFmtId="4" fontId="11" fillId="0" borderId="0" xfId="0" applyNumberFormat="1" applyFont="1"/>
    <xf numFmtId="43" fontId="11" fillId="0" borderId="1" xfId="1" applyFont="1" applyBorder="1" applyAlignment="1">
      <alignment horizontal="center"/>
    </xf>
    <xf numFmtId="9" fontId="11" fillId="0" borderId="1" xfId="2" applyFont="1" applyBorder="1"/>
    <xf numFmtId="10" fontId="11" fillId="0" borderId="0" xfId="0" applyNumberFormat="1" applyFont="1"/>
    <xf numFmtId="10" fontId="11" fillId="0" borderId="1" xfId="2" applyNumberFormat="1" applyFont="1" applyBorder="1" applyAlignment="1">
      <alignment horizontal="center"/>
    </xf>
    <xf numFmtId="9" fontId="11" fillId="0" borderId="0" xfId="2" applyFont="1" applyBorder="1"/>
    <xf numFmtId="43" fontId="11" fillId="0" borderId="1" xfId="1" applyFont="1" applyBorder="1"/>
    <xf numFmtId="10" fontId="11" fillId="0" borderId="0" xfId="2" applyNumberFormat="1" applyFont="1" applyBorder="1"/>
    <xf numFmtId="0" fontId="11" fillId="0" borderId="1" xfId="0" applyFont="1" applyBorder="1" applyAlignment="1">
      <alignment vertical="center" wrapText="1"/>
    </xf>
    <xf numFmtId="0" fontId="30" fillId="0" borderId="0" xfId="0" applyFont="1" applyAlignment="1">
      <alignment vertical="center"/>
    </xf>
    <xf numFmtId="0" fontId="10" fillId="4" borderId="0" xfId="0" applyFont="1" applyFill="1"/>
    <xf numFmtId="0" fontId="10" fillId="4" borderId="0" xfId="0" quotePrefix="1" applyFont="1" applyFill="1"/>
    <xf numFmtId="0" fontId="16" fillId="0" borderId="0" xfId="0" applyFont="1"/>
    <xf numFmtId="43" fontId="10" fillId="0" borderId="0" xfId="0" applyNumberFormat="1" applyFont="1"/>
    <xf numFmtId="4" fontId="10" fillId="0" borderId="0" xfId="0" applyNumberFormat="1" applyFont="1"/>
    <xf numFmtId="10" fontId="10" fillId="0" borderId="0" xfId="0" applyNumberFormat="1" applyFont="1"/>
    <xf numFmtId="0" fontId="19" fillId="0" borderId="0" xfId="0" applyFont="1" applyAlignment="1">
      <alignment horizontal="center"/>
    </xf>
    <xf numFmtId="0" fontId="70" fillId="0" borderId="1" xfId="0" applyFont="1" applyBorder="1" applyAlignment="1">
      <alignment horizontal="center" vertical="center" wrapText="1"/>
    </xf>
    <xf numFmtId="4" fontId="37" fillId="13" borderId="1" xfId="0" applyNumberFormat="1" applyFont="1" applyFill="1" applyBorder="1" applyAlignment="1">
      <alignment horizontal="center" vertical="center" wrapText="1"/>
    </xf>
    <xf numFmtId="10" fontId="49" fillId="13" borderId="1" xfId="0" applyNumberFormat="1" applyFont="1" applyFill="1" applyBorder="1" applyAlignment="1">
      <alignment horizontal="center" vertical="center" wrapText="1"/>
    </xf>
    <xf numFmtId="4" fontId="68" fillId="13" borderId="1" xfId="0" applyNumberFormat="1" applyFont="1" applyFill="1" applyBorder="1" applyAlignment="1">
      <alignment horizontal="center" vertical="center" wrapText="1"/>
    </xf>
    <xf numFmtId="4" fontId="68" fillId="13" borderId="0" xfId="0" applyNumberFormat="1" applyFont="1" applyFill="1" applyAlignment="1">
      <alignment horizontal="center" vertical="center" wrapText="1"/>
    </xf>
    <xf numFmtId="4" fontId="12" fillId="5" borderId="0" xfId="0" applyNumberFormat="1" applyFont="1" applyFill="1" applyAlignment="1">
      <alignment horizontal="center" vertical="center" wrapText="1"/>
    </xf>
    <xf numFmtId="4" fontId="12" fillId="6" borderId="0" xfId="0" applyNumberFormat="1" applyFont="1" applyFill="1" applyAlignment="1">
      <alignment horizontal="center" vertical="center" wrapText="1"/>
    </xf>
    <xf numFmtId="4" fontId="10" fillId="0" borderId="1" xfId="0" applyNumberFormat="1" applyFont="1" applyBorder="1" applyAlignment="1">
      <alignment horizontal="center" vertical="center"/>
    </xf>
    <xf numFmtId="4" fontId="12" fillId="6" borderId="0" xfId="0" applyNumberFormat="1" applyFont="1" applyFill="1" applyAlignment="1">
      <alignment horizontal="center" vertical="center"/>
    </xf>
    <xf numFmtId="0" fontId="12" fillId="6" borderId="0" xfId="0" applyFont="1" applyFill="1" applyAlignment="1">
      <alignment horizontal="center" vertical="center"/>
    </xf>
    <xf numFmtId="4" fontId="12" fillId="6" borderId="0" xfId="0" applyNumberFormat="1" applyFont="1" applyFill="1" applyAlignment="1">
      <alignment horizontal="right" vertical="center" wrapText="1"/>
    </xf>
    <xf numFmtId="0" fontId="68" fillId="0" borderId="0" xfId="0" applyFont="1" applyAlignment="1">
      <alignment horizontal="center" vertical="center" wrapText="1"/>
    </xf>
    <xf numFmtId="0" fontId="12" fillId="11" borderId="0" xfId="0" applyFont="1" applyFill="1" applyAlignment="1">
      <alignment horizontal="center" vertical="center"/>
    </xf>
    <xf numFmtId="0" fontId="0" fillId="0" borderId="0" xfId="0" applyAlignment="1">
      <alignment horizontal="center" vertical="center"/>
    </xf>
    <xf numFmtId="4" fontId="12" fillId="3" borderId="0" xfId="0" applyNumberFormat="1" applyFont="1" applyFill="1" applyAlignment="1">
      <alignment horizontal="center" vertical="center" wrapText="1"/>
    </xf>
    <xf numFmtId="0" fontId="12" fillId="3" borderId="0" xfId="0" applyFont="1" applyFill="1" applyAlignment="1">
      <alignment horizontal="center" vertical="center" wrapText="1"/>
    </xf>
    <xf numFmtId="4" fontId="12" fillId="2" borderId="0" xfId="0" applyNumberFormat="1" applyFont="1" applyFill="1" applyAlignment="1">
      <alignment horizontal="center" vertical="center"/>
    </xf>
    <xf numFmtId="43" fontId="12" fillId="2" borderId="0" xfId="1" applyFont="1" applyFill="1" applyBorder="1" applyAlignment="1">
      <alignment horizontal="center" vertical="center"/>
    </xf>
    <xf numFmtId="4" fontId="12" fillId="6" borderId="0" xfId="0" applyNumberFormat="1" applyFont="1" applyFill="1" applyAlignment="1">
      <alignment vertical="center"/>
    </xf>
    <xf numFmtId="0" fontId="12" fillId="6" borderId="0" xfId="0" applyFont="1" applyFill="1" applyAlignment="1">
      <alignment vertical="center"/>
    </xf>
    <xf numFmtId="43" fontId="12" fillId="6" borderId="0" xfId="1" applyFont="1" applyFill="1" applyBorder="1" applyAlignment="1">
      <alignment vertical="center"/>
    </xf>
    <xf numFmtId="43" fontId="12" fillId="6" borderId="0" xfId="0" applyNumberFormat="1" applyFont="1" applyFill="1" applyAlignment="1">
      <alignment vertical="center"/>
    </xf>
    <xf numFmtId="4" fontId="12" fillId="6" borderId="0" xfId="0" applyNumberFormat="1" applyFont="1" applyFill="1" applyAlignment="1">
      <alignment vertical="center" wrapText="1"/>
    </xf>
    <xf numFmtId="4" fontId="68" fillId="0" borderId="1" xfId="0" applyNumberFormat="1" applyFont="1" applyBorder="1" applyAlignment="1">
      <alignment horizontal="center" vertical="center"/>
    </xf>
    <xf numFmtId="0" fontId="76" fillId="0" borderId="1" xfId="0" applyFont="1" applyBorder="1" applyAlignment="1">
      <alignment horizontal="center" vertical="center" wrapText="1"/>
    </xf>
    <xf numFmtId="0" fontId="77" fillId="0" borderId="1" xfId="0" applyFont="1" applyBorder="1" applyAlignment="1">
      <alignment horizontal="center" vertical="center" wrapText="1"/>
    </xf>
    <xf numFmtId="4" fontId="10" fillId="0" borderId="1" xfId="0" applyNumberFormat="1" applyFont="1" applyBorder="1" applyAlignment="1">
      <alignment horizontal="center" vertical="center" wrapText="1"/>
    </xf>
    <xf numFmtId="4" fontId="37" fillId="0" borderId="1" xfId="0" applyNumberFormat="1" applyFont="1" applyBorder="1" applyAlignment="1">
      <alignment horizontal="center" vertical="center" wrapText="1"/>
    </xf>
    <xf numFmtId="0" fontId="50" fillId="0" borderId="1" xfId="0" applyFont="1" applyBorder="1" applyAlignment="1">
      <alignment horizontal="center" vertical="center" wrapText="1"/>
    </xf>
    <xf numFmtId="0" fontId="69" fillId="0" borderId="0" xfId="0" applyFont="1" applyAlignment="1">
      <alignment horizontal="center" vertical="center" wrapText="1"/>
    </xf>
    <xf numFmtId="0" fontId="6" fillId="0" borderId="9"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10" fontId="6" fillId="4" borderId="1" xfId="0" applyNumberFormat="1" applyFont="1" applyFill="1" applyBorder="1" applyAlignment="1">
      <alignment horizontal="center" vertical="center" wrapText="1"/>
    </xf>
    <xf numFmtId="177" fontId="6" fillId="4" borderId="1" xfId="0" applyNumberFormat="1"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6" fillId="4" borderId="1" xfId="0" applyNumberFormat="1" applyFont="1" applyFill="1" applyBorder="1" applyAlignment="1">
      <alignment horizontal="center" vertical="center" wrapText="1"/>
    </xf>
    <xf numFmtId="10" fontId="6" fillId="0" borderId="1" xfId="0" applyNumberFormat="1" applyFont="1" applyBorder="1" applyAlignment="1">
      <alignment horizontal="center" vertical="center" wrapText="1"/>
    </xf>
    <xf numFmtId="0" fontId="6" fillId="0" borderId="0" xfId="0" quotePrefix="1" applyFont="1" applyAlignment="1">
      <alignment horizontal="center" vertical="center" wrapText="1"/>
    </xf>
    <xf numFmtId="9" fontId="6" fillId="0" borderId="0" xfId="0" applyNumberFormat="1" applyFont="1" applyAlignment="1">
      <alignment horizontal="center" vertical="center" wrapText="1"/>
    </xf>
    <xf numFmtId="10" fontId="6" fillId="0" borderId="0" xfId="0" applyNumberFormat="1" applyFont="1" applyAlignment="1">
      <alignment horizontal="center" vertical="center" wrapText="1"/>
    </xf>
    <xf numFmtId="0" fontId="6" fillId="0" borderId="12" xfId="0" applyFont="1" applyBorder="1" applyAlignment="1">
      <alignment horizontal="center" vertical="center" wrapText="1"/>
    </xf>
    <xf numFmtId="0" fontId="70" fillId="4" borderId="1" xfId="0"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2" fontId="11" fillId="0" borderId="0" xfId="0" applyNumberFormat="1" applyFont="1" applyAlignment="1">
      <alignment horizontal="center" vertical="center" wrapText="1"/>
    </xf>
    <xf numFmtId="10" fontId="72" fillId="0" borderId="6" xfId="2" applyNumberFormat="1" applyFont="1" applyFill="1" applyBorder="1" applyAlignment="1">
      <alignment horizontal="center" vertical="center" wrapText="1"/>
    </xf>
    <xf numFmtId="4" fontId="6" fillId="0" borderId="0" xfId="0" applyNumberFormat="1" applyFont="1" applyAlignment="1">
      <alignment horizontal="center" vertical="center" wrapText="1"/>
    </xf>
    <xf numFmtId="4" fontId="72" fillId="0" borderId="6"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176" fontId="72" fillId="0" borderId="6" xfId="0" applyNumberFormat="1" applyFont="1" applyBorder="1" applyAlignment="1">
      <alignment horizontal="center" vertical="center" wrapText="1"/>
    </xf>
    <xf numFmtId="167" fontId="6" fillId="0" borderId="1" xfId="0" applyNumberFormat="1" applyFont="1" applyBorder="1" applyAlignment="1">
      <alignment horizontal="center" vertical="center" wrapText="1"/>
    </xf>
    <xf numFmtId="167" fontId="72" fillId="0" borderId="1" xfId="0" applyNumberFormat="1" applyFont="1" applyBorder="1" applyAlignment="1">
      <alignment horizontal="center" vertical="center" wrapText="1"/>
    </xf>
    <xf numFmtId="176" fontId="72" fillId="0" borderId="0" xfId="0" applyNumberFormat="1" applyFont="1" applyAlignment="1">
      <alignment horizontal="center" vertical="center" wrapText="1"/>
    </xf>
    <xf numFmtId="167" fontId="6" fillId="0" borderId="0" xfId="0" applyNumberFormat="1" applyFont="1" applyAlignment="1">
      <alignment horizontal="center" vertical="center" wrapText="1"/>
    </xf>
    <xf numFmtId="167" fontId="72" fillId="0" borderId="0" xfId="0" applyNumberFormat="1" applyFont="1" applyAlignment="1">
      <alignment horizontal="center" vertical="center" wrapText="1"/>
    </xf>
    <xf numFmtId="0" fontId="10" fillId="3" borderId="0" xfId="0" applyFont="1" applyFill="1" applyAlignment="1">
      <alignment horizontal="center" vertical="center" wrapText="1"/>
    </xf>
    <xf numFmtId="0" fontId="10" fillId="6" borderId="0" xfId="0" applyFont="1" applyFill="1" applyAlignment="1">
      <alignment horizontal="center" vertical="center" wrapText="1"/>
    </xf>
    <xf numFmtId="0" fontId="12" fillId="6" borderId="0" xfId="0" applyFont="1" applyFill="1" applyAlignment="1">
      <alignment horizontal="center" vertical="center" wrapText="1"/>
    </xf>
    <xf numFmtId="0" fontId="10" fillId="4" borderId="0" xfId="0" applyFont="1" applyFill="1" applyAlignment="1">
      <alignment horizontal="center" vertical="center" wrapText="1"/>
    </xf>
    <xf numFmtId="4" fontId="10" fillId="4" borderId="0" xfId="0" applyNumberFormat="1" applyFont="1" applyFill="1" applyAlignment="1">
      <alignment horizontal="center" vertical="center"/>
    </xf>
    <xf numFmtId="4" fontId="12" fillId="5" borderId="0" xfId="0" applyNumberFormat="1" applyFont="1" applyFill="1" applyAlignment="1">
      <alignment horizontal="center" vertical="center"/>
    </xf>
    <xf numFmtId="4" fontId="12" fillId="11" borderId="0" xfId="0" applyNumberFormat="1" applyFont="1" applyFill="1" applyAlignment="1">
      <alignment horizontal="center" vertical="center"/>
    </xf>
    <xf numFmtId="0" fontId="12" fillId="5" borderId="0" xfId="0" applyFont="1" applyFill="1" applyAlignment="1">
      <alignment horizontal="center" vertical="center"/>
    </xf>
    <xf numFmtId="4" fontId="68" fillId="4" borderId="0" xfId="0" applyNumberFormat="1" applyFont="1" applyFill="1" applyAlignment="1">
      <alignment horizontal="center" vertical="center" wrapText="1"/>
    </xf>
    <xf numFmtId="0" fontId="12" fillId="5" borderId="0" xfId="0" applyFont="1" applyFill="1" applyAlignment="1">
      <alignment horizontal="center" vertical="center" wrapText="1"/>
    </xf>
    <xf numFmtId="0" fontId="10" fillId="6" borderId="0" xfId="0" applyFont="1" applyFill="1"/>
    <xf numFmtId="4" fontId="12" fillId="11" borderId="0" xfId="0" applyNumberFormat="1" applyFont="1" applyFill="1" applyAlignment="1">
      <alignment horizontal="center" vertical="center" wrapText="1"/>
    </xf>
    <xf numFmtId="0" fontId="0" fillId="11" borderId="0" xfId="0" applyFill="1" applyAlignment="1">
      <alignment horizontal="center" vertical="center"/>
    </xf>
    <xf numFmtId="0" fontId="3" fillId="11" borderId="0" xfId="0" applyFont="1" applyFill="1" applyAlignment="1">
      <alignment horizontal="center" vertical="center"/>
    </xf>
    <xf numFmtId="0" fontId="10" fillId="11" borderId="0" xfId="0" applyFont="1" applyFill="1" applyAlignment="1">
      <alignment horizontal="center" vertical="center"/>
    </xf>
    <xf numFmtId="4" fontId="12" fillId="2" borderId="0" xfId="0" applyNumberFormat="1" applyFont="1" applyFill="1" applyAlignment="1">
      <alignment horizontal="center" vertical="center" wrapText="1"/>
    </xf>
    <xf numFmtId="0" fontId="12" fillId="0" borderId="0" xfId="0" applyFont="1" applyAlignment="1">
      <alignment horizontal="center" vertical="center"/>
    </xf>
    <xf numFmtId="4" fontId="12" fillId="0" borderId="0" xfId="0" applyNumberFormat="1" applyFont="1" applyAlignment="1">
      <alignment horizontal="center" vertical="center"/>
    </xf>
    <xf numFmtId="4" fontId="16" fillId="4" borderId="0" xfId="0" applyNumberFormat="1" applyFont="1" applyFill="1"/>
    <xf numFmtId="43" fontId="16" fillId="4" borderId="1" xfId="0" applyNumberFormat="1" applyFont="1" applyFill="1" applyBorder="1"/>
    <xf numFmtId="4" fontId="21" fillId="0" borderId="0" xfId="0" applyNumberFormat="1" applyFont="1"/>
    <xf numFmtId="167" fontId="11" fillId="0" borderId="0" xfId="0" applyNumberFormat="1" applyFont="1"/>
    <xf numFmtId="14" fontId="11" fillId="0" borderId="0" xfId="0" applyNumberFormat="1" applyFont="1" applyAlignment="1">
      <alignment horizontal="center"/>
    </xf>
    <xf numFmtId="0" fontId="11" fillId="4" borderId="0" xfId="0" applyFont="1" applyFill="1" applyAlignment="1">
      <alignment horizontal="center"/>
    </xf>
    <xf numFmtId="165" fontId="12" fillId="5" borderId="0" xfId="0" applyNumberFormat="1" applyFont="1" applyFill="1" applyAlignment="1">
      <alignment horizontal="center" vertical="center" wrapText="1"/>
    </xf>
    <xf numFmtId="43" fontId="0" fillId="0" borderId="0" xfId="0" applyNumberFormat="1"/>
    <xf numFmtId="43" fontId="3" fillId="2" borderId="1" xfId="0" applyNumberFormat="1" applyFont="1" applyFill="1" applyBorder="1"/>
    <xf numFmtId="43" fontId="0" fillId="4" borderId="0" xfId="0" applyNumberFormat="1" applyFill="1"/>
    <xf numFmtId="0" fontId="2" fillId="4" borderId="0" xfId="0" applyFont="1" applyFill="1"/>
    <xf numFmtId="43" fontId="3" fillId="0" borderId="0" xfId="0" applyNumberFormat="1" applyFont="1"/>
    <xf numFmtId="4" fontId="10" fillId="0" borderId="5" xfId="0" applyNumberFormat="1" applyFont="1" applyBorder="1" applyAlignment="1">
      <alignment horizontal="center" vertical="center" wrapText="1"/>
    </xf>
    <xf numFmtId="43" fontId="16" fillId="0" borderId="0" xfId="0" applyNumberFormat="1" applyFont="1"/>
    <xf numFmtId="0" fontId="10" fillId="0" borderId="0" xfId="0" applyFont="1" applyAlignment="1">
      <alignment horizontal="center" vertical="center"/>
    </xf>
    <xf numFmtId="4" fontId="10" fillId="0" borderId="0" xfId="0" applyNumberFormat="1" applyFont="1" applyAlignment="1">
      <alignment horizontal="center" vertical="center"/>
    </xf>
    <xf numFmtId="4" fontId="0" fillId="0" borderId="1" xfId="0" applyNumberFormat="1" applyBorder="1" applyAlignment="1">
      <alignment horizontal="center" vertical="center"/>
    </xf>
    <xf numFmtId="0" fontId="0" fillId="0" borderId="1" xfId="0" applyBorder="1" applyAlignment="1">
      <alignment horizontal="center" vertical="center"/>
    </xf>
    <xf numFmtId="4" fontId="78" fillId="5" borderId="1" xfId="0" applyNumberFormat="1" applyFont="1" applyFill="1" applyBorder="1" applyAlignment="1">
      <alignment horizontal="center" vertical="center"/>
    </xf>
    <xf numFmtId="0" fontId="14" fillId="0" borderId="0" xfId="0" applyFont="1" applyAlignment="1">
      <alignment horizontal="center"/>
    </xf>
    <xf numFmtId="43" fontId="10" fillId="0" borderId="0" xfId="1" applyFont="1" applyBorder="1" applyAlignment="1">
      <alignment horizontal="center" vertical="center" wrapText="1"/>
    </xf>
    <xf numFmtId="0" fontId="19" fillId="0" borderId="1" xfId="0" applyFont="1" applyBorder="1" applyAlignment="1">
      <alignment horizontal="center" vertical="center" wrapText="1"/>
    </xf>
    <xf numFmtId="4" fontId="0" fillId="4" borderId="1" xfId="0" applyNumberFormat="1" applyFill="1" applyBorder="1" applyAlignment="1">
      <alignment horizontal="center" vertical="center"/>
    </xf>
    <xf numFmtId="4" fontId="37" fillId="4" borderId="1" xfId="0" applyNumberFormat="1" applyFont="1" applyFill="1" applyBorder="1" applyAlignment="1">
      <alignment horizontal="center" vertical="center" wrapText="1"/>
    </xf>
    <xf numFmtId="43" fontId="37" fillId="4" borderId="1" xfId="1" applyFont="1" applyFill="1" applyBorder="1" applyAlignment="1">
      <alignment horizontal="center" vertical="center" wrapText="1"/>
    </xf>
    <xf numFmtId="4" fontId="51" fillId="4" borderId="1" xfId="0" applyNumberFormat="1" applyFont="1" applyFill="1" applyBorder="1" applyAlignment="1">
      <alignment horizontal="center" vertical="center"/>
    </xf>
    <xf numFmtId="43" fontId="11" fillId="4" borderId="1" xfId="1" applyFont="1" applyFill="1" applyBorder="1" applyAlignment="1">
      <alignment horizontal="center" vertical="center" wrapText="1"/>
    </xf>
    <xf numFmtId="4" fontId="47" fillId="4" borderId="1" xfId="0" applyNumberFormat="1" applyFont="1" applyFill="1" applyBorder="1" applyAlignment="1">
      <alignment horizontal="center" vertical="center" wrapText="1"/>
    </xf>
    <xf numFmtId="4" fontId="31" fillId="4" borderId="1" xfId="0" applyNumberFormat="1" applyFont="1" applyFill="1" applyBorder="1" applyAlignment="1">
      <alignment horizontal="center" vertical="center"/>
    </xf>
    <xf numFmtId="4" fontId="0" fillId="0" borderId="0" xfId="0" applyNumberFormat="1"/>
    <xf numFmtId="4" fontId="3" fillId="3" borderId="0" xfId="0" applyNumberFormat="1" applyFont="1" applyFill="1"/>
    <xf numFmtId="4" fontId="3" fillId="6" borderId="0" xfId="0" applyNumberFormat="1" applyFont="1" applyFill="1"/>
    <xf numFmtId="0" fontId="6" fillId="4" borderId="0" xfId="0" applyFont="1" applyFill="1" applyAlignment="1">
      <alignment horizontal="center" vertical="center" wrapText="1"/>
    </xf>
    <xf numFmtId="43" fontId="21" fillId="0" borderId="0" xfId="0" applyNumberFormat="1" applyFont="1"/>
    <xf numFmtId="4" fontId="12" fillId="4" borderId="0" xfId="0" applyNumberFormat="1" applyFont="1" applyFill="1" applyAlignment="1">
      <alignment horizontal="center" vertical="center"/>
    </xf>
    <xf numFmtId="0" fontId="12" fillId="4" borderId="0" xfId="0" applyFont="1" applyFill="1" applyAlignment="1">
      <alignment horizontal="center" vertical="center"/>
    </xf>
    <xf numFmtId="4" fontId="68" fillId="4" borderId="0" xfId="0" applyNumberFormat="1" applyFont="1" applyFill="1" applyAlignment="1">
      <alignment horizontal="center" vertical="center"/>
    </xf>
    <xf numFmtId="0" fontId="22" fillId="4" borderId="1" xfId="0" applyFont="1" applyFill="1" applyBorder="1" applyAlignment="1">
      <alignment horizontal="center" vertical="center" wrapText="1"/>
    </xf>
    <xf numFmtId="4" fontId="3" fillId="5" borderId="1" xfId="0" applyNumberFormat="1" applyFont="1" applyFill="1" applyBorder="1" applyAlignment="1">
      <alignment horizontal="center" vertical="center"/>
    </xf>
    <xf numFmtId="0" fontId="10" fillId="0" borderId="0" xfId="0" quotePrefix="1" applyFont="1"/>
    <xf numFmtId="0" fontId="19" fillId="0" borderId="0" xfId="0" applyFont="1" applyAlignment="1">
      <alignment horizontal="center" vertical="center" wrapText="1"/>
    </xf>
    <xf numFmtId="165" fontId="19" fillId="0" borderId="0" xfId="0" applyNumberFormat="1" applyFont="1" applyAlignment="1">
      <alignment horizontal="center" vertical="center" wrapText="1"/>
    </xf>
    <xf numFmtId="4" fontId="15" fillId="0" borderId="1" xfId="0" applyNumberFormat="1" applyFont="1" applyBorder="1" applyAlignment="1">
      <alignment horizontal="center" vertical="center" wrapText="1"/>
    </xf>
    <xf numFmtId="0" fontId="12" fillId="3" borderId="6"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1" xfId="0" quotePrefix="1" applyFont="1" applyFill="1" applyBorder="1" applyAlignment="1">
      <alignment horizontal="center" vertical="center" wrapText="1"/>
    </xf>
    <xf numFmtId="0" fontId="42" fillId="3" borderId="1" xfId="0" applyFont="1" applyFill="1" applyBorder="1" applyAlignment="1">
      <alignment horizontal="center" vertical="center" wrapText="1"/>
    </xf>
    <xf numFmtId="0" fontId="11" fillId="0" borderId="4" xfId="0" applyFont="1" applyBorder="1" applyAlignment="1">
      <alignment horizontal="center" vertical="center" wrapText="1"/>
    </xf>
    <xf numFmtId="0" fontId="6" fillId="0" borderId="15" xfId="0" applyFont="1" applyBorder="1" applyAlignment="1">
      <alignment horizontal="center" vertical="center" wrapText="1"/>
    </xf>
    <xf numFmtId="10" fontId="37" fillId="4" borderId="1" xfId="2" quotePrefix="1" applyNumberFormat="1" applyFont="1" applyFill="1" applyBorder="1" applyAlignment="1">
      <alignment horizontal="center" vertical="center"/>
    </xf>
    <xf numFmtId="169" fontId="53" fillId="0" borderId="1" xfId="3" applyNumberFormat="1" applyFont="1" applyBorder="1" applyAlignment="1">
      <alignment horizontal="center" vertical="center" wrapText="1"/>
    </xf>
    <xf numFmtId="4" fontId="47" fillId="4" borderId="0" xfId="0" applyNumberFormat="1" applyFont="1" applyFill="1" applyAlignment="1">
      <alignment horizontal="center" vertical="center" wrapText="1"/>
    </xf>
    <xf numFmtId="4"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4" fontId="11" fillId="4" borderId="0" xfId="0" applyNumberFormat="1" applyFont="1" applyFill="1" applyAlignment="1">
      <alignment horizontal="center"/>
    </xf>
    <xf numFmtId="0" fontId="11" fillId="0" borderId="0" xfId="0" quotePrefix="1" applyFont="1" applyAlignment="1">
      <alignment horizontal="center"/>
    </xf>
    <xf numFmtId="0" fontId="10" fillId="0" borderId="4" xfId="0" applyFont="1" applyBorder="1" applyAlignment="1">
      <alignment horizontal="center" vertical="center" wrapText="1"/>
    </xf>
    <xf numFmtId="0" fontId="11" fillId="0" borderId="0" xfId="0" quotePrefix="1" applyFont="1" applyAlignment="1">
      <alignment horizontal="left"/>
    </xf>
    <xf numFmtId="4" fontId="11" fillId="0" borderId="0" xfId="0" quotePrefix="1" applyNumberFormat="1" applyFont="1" applyAlignment="1">
      <alignment horizontal="left" vertical="center" wrapText="1"/>
    </xf>
    <xf numFmtId="0" fontId="11" fillId="0" borderId="0" xfId="0" quotePrefix="1" applyFont="1" applyAlignment="1">
      <alignment horizontal="center" vertical="center" wrapText="1"/>
    </xf>
    <xf numFmtId="2" fontId="15" fillId="0" borderId="1" xfId="0" applyNumberFormat="1" applyFont="1" applyBorder="1" applyAlignment="1">
      <alignment horizontal="center" vertical="center" wrapText="1"/>
    </xf>
    <xf numFmtId="0" fontId="11" fillId="4" borderId="0" xfId="0" applyFont="1" applyFill="1" applyAlignment="1">
      <alignment horizontal="center" vertical="center" wrapText="1"/>
    </xf>
    <xf numFmtId="14" fontId="11" fillId="0" borderId="0" xfId="0" applyNumberFormat="1" applyFont="1"/>
    <xf numFmtId="0" fontId="68" fillId="4" borderId="0" xfId="0" applyFont="1" applyFill="1" applyAlignment="1">
      <alignment horizontal="center" vertical="center" wrapText="1"/>
    </xf>
    <xf numFmtId="2" fontId="11" fillId="4" borderId="0" xfId="0" applyNumberFormat="1" applyFont="1" applyFill="1" applyAlignment="1">
      <alignment horizontal="center" vertical="center" wrapText="1"/>
    </xf>
    <xf numFmtId="0" fontId="11" fillId="0" borderId="0" xfId="0" applyFont="1" applyAlignment="1">
      <alignment horizontal="center" vertical="center"/>
    </xf>
    <xf numFmtId="0" fontId="11" fillId="4" borderId="0" xfId="0" applyFont="1" applyFill="1" applyAlignment="1">
      <alignment horizontal="center" vertical="center"/>
    </xf>
    <xf numFmtId="169" fontId="11" fillId="4" borderId="0" xfId="0" quotePrefix="1" applyNumberFormat="1" applyFont="1" applyFill="1" applyAlignment="1">
      <alignment horizontal="center" vertical="center"/>
    </xf>
    <xf numFmtId="2" fontId="11" fillId="4" borderId="0" xfId="0" quotePrefix="1" applyNumberFormat="1" applyFont="1" applyFill="1" applyAlignment="1">
      <alignment horizontal="center" vertical="center"/>
    </xf>
    <xf numFmtId="0" fontId="11" fillId="0" borderId="0" xfId="0" quotePrefix="1" applyFont="1" applyAlignment="1">
      <alignment horizontal="center" vertical="center"/>
    </xf>
    <xf numFmtId="14" fontId="11" fillId="4" borderId="0" xfId="0" quotePrefix="1" applyNumberFormat="1" applyFont="1" applyFill="1" applyAlignment="1">
      <alignment horizontal="center" vertical="center"/>
    </xf>
    <xf numFmtId="0" fontId="11" fillId="4" borderId="0" xfId="0" quotePrefix="1" applyFont="1" applyFill="1" applyAlignment="1">
      <alignment horizontal="center" vertical="center"/>
    </xf>
    <xf numFmtId="0" fontId="11" fillId="0" borderId="1" xfId="0" applyFont="1" applyBorder="1" applyAlignment="1">
      <alignment horizontal="center" vertical="center"/>
    </xf>
    <xf numFmtId="0" fontId="11" fillId="4" borderId="1" xfId="0" applyFont="1" applyFill="1" applyBorder="1" applyAlignment="1">
      <alignment horizontal="center" vertical="center"/>
    </xf>
    <xf numFmtId="10" fontId="11" fillId="4" borderId="0" xfId="0" applyNumberFormat="1" applyFont="1" applyFill="1" applyAlignment="1">
      <alignment horizontal="center" vertical="center" wrapText="1"/>
    </xf>
    <xf numFmtId="14" fontId="11" fillId="4" borderId="0" xfId="0" applyNumberFormat="1" applyFont="1" applyFill="1" applyAlignment="1">
      <alignment horizontal="center" vertical="center" wrapText="1"/>
    </xf>
    <xf numFmtId="4" fontId="11" fillId="0" borderId="0" xfId="0" quotePrefix="1" applyNumberFormat="1" applyFont="1" applyAlignment="1">
      <alignment horizontal="center" vertical="center" wrapText="1"/>
    </xf>
    <xf numFmtId="1" fontId="11" fillId="0" borderId="0" xfId="0" applyNumberFormat="1" applyFont="1" applyAlignment="1">
      <alignment horizontal="center" vertical="center" wrapText="1"/>
    </xf>
    <xf numFmtId="2" fontId="53" fillId="0" borderId="1" xfId="3" quotePrefix="1" applyNumberFormat="1" applyFont="1" applyBorder="1" applyAlignment="1">
      <alignment horizontal="center" vertical="center" wrapText="1"/>
    </xf>
    <xf numFmtId="9" fontId="11" fillId="0" borderId="0" xfId="0" applyNumberFormat="1" applyFont="1" applyAlignment="1">
      <alignment horizontal="center"/>
    </xf>
    <xf numFmtId="9" fontId="11" fillId="4" borderId="0" xfId="0" applyNumberFormat="1" applyFont="1" applyFill="1" applyAlignment="1">
      <alignment horizontal="center" vertical="center" wrapText="1"/>
    </xf>
    <xf numFmtId="4" fontId="53" fillId="4" borderId="1" xfId="3" applyNumberFormat="1" applyFont="1" applyFill="1" applyBorder="1" applyAlignment="1">
      <alignment horizontal="center" vertical="center" wrapText="1"/>
    </xf>
    <xf numFmtId="14" fontId="37" fillId="4" borderId="1" xfId="3" applyNumberFormat="1" applyFont="1" applyFill="1" applyBorder="1" applyAlignment="1">
      <alignment horizontal="center" vertical="center" wrapText="1"/>
    </xf>
    <xf numFmtId="0" fontId="30" fillId="0" borderId="0" xfId="0" applyFont="1"/>
    <xf numFmtId="1" fontId="10" fillId="0" borderId="1" xfId="0" applyNumberFormat="1" applyFont="1" applyBorder="1" applyAlignment="1">
      <alignment horizontal="center" vertical="center" wrapText="1"/>
    </xf>
    <xf numFmtId="0" fontId="7" fillId="0" borderId="0" xfId="0" applyFont="1" applyAlignment="1">
      <alignment horizontal="center"/>
    </xf>
    <xf numFmtId="164" fontId="7" fillId="0" borderId="0" xfId="2" applyNumberFormat="1" applyFont="1" applyBorder="1"/>
    <xf numFmtId="10" fontId="14" fillId="6" borderId="2" xfId="2" applyNumberFormat="1" applyFont="1" applyFill="1" applyBorder="1" applyAlignment="1">
      <alignment horizontal="center" vertical="center"/>
    </xf>
    <xf numFmtId="173" fontId="36" fillId="0" borderId="0" xfId="1" applyNumberFormat="1" applyFont="1" applyFill="1" applyBorder="1" applyAlignment="1">
      <alignment horizontal="center" vertical="center"/>
    </xf>
    <xf numFmtId="172" fontId="7" fillId="0" borderId="0" xfId="0" applyNumberFormat="1" applyFont="1"/>
    <xf numFmtId="10" fontId="14" fillId="0" borderId="0" xfId="2" applyNumberFormat="1" applyFont="1" applyFill="1" applyBorder="1" applyAlignment="1">
      <alignment horizontal="center" vertical="center"/>
    </xf>
    <xf numFmtId="0" fontId="11" fillId="0" borderId="0" xfId="0" applyFont="1" applyAlignment="1">
      <alignment horizontal="left" vertical="center"/>
    </xf>
    <xf numFmtId="0" fontId="11" fillId="4" borderId="0" xfId="0" applyFont="1" applyFill="1"/>
    <xf numFmtId="0" fontId="11" fillId="4" borderId="1" xfId="0" quotePrefix="1" applyFont="1" applyFill="1" applyBorder="1" applyAlignment="1">
      <alignment horizontal="center" vertical="center" wrapText="1"/>
    </xf>
    <xf numFmtId="4" fontId="11" fillId="4" borderId="1" xfId="0" quotePrefix="1" applyNumberFormat="1" applyFont="1" applyFill="1" applyBorder="1" applyAlignment="1">
      <alignment horizontal="center" vertical="center" wrapText="1"/>
    </xf>
    <xf numFmtId="14" fontId="14" fillId="6" borderId="1" xfId="0" applyNumberFormat="1" applyFont="1" applyFill="1" applyBorder="1" applyAlignment="1">
      <alignment horizontal="center" vertical="center" wrapText="1"/>
    </xf>
    <xf numFmtId="43" fontId="85" fillId="6" borderId="1" xfId="1" applyFont="1" applyFill="1" applyBorder="1" applyAlignment="1">
      <alignment horizontal="center" vertical="center" wrapText="1"/>
    </xf>
    <xf numFmtId="10" fontId="49" fillId="0" borderId="1" xfId="0" applyNumberFormat="1" applyFont="1" applyBorder="1" applyAlignment="1">
      <alignment horizontal="center" vertical="center" wrapText="1"/>
    </xf>
    <xf numFmtId="4" fontId="12" fillId="6" borderId="1" xfId="0" applyNumberFormat="1" applyFont="1" applyFill="1" applyBorder="1" applyAlignment="1">
      <alignment horizontal="center" vertical="center" wrapText="1"/>
    </xf>
    <xf numFmtId="165" fontId="37" fillId="0" borderId="1" xfId="3" applyNumberFormat="1" applyFont="1" applyBorder="1" applyAlignment="1">
      <alignment horizontal="center" vertical="center" wrapText="1"/>
    </xf>
    <xf numFmtId="0" fontId="37" fillId="0" borderId="1" xfId="3" applyFont="1" applyBorder="1" applyAlignment="1">
      <alignment horizontal="center" vertical="center"/>
    </xf>
    <xf numFmtId="2" fontId="37" fillId="0" borderId="1" xfId="3" applyNumberFormat="1" applyFont="1" applyBorder="1" applyAlignment="1">
      <alignment horizontal="center" vertical="center"/>
    </xf>
    <xf numFmtId="0" fontId="37" fillId="4" borderId="1" xfId="3" applyFont="1" applyFill="1" applyBorder="1" applyAlignment="1">
      <alignment horizontal="center" vertical="center" wrapText="1"/>
    </xf>
    <xf numFmtId="14" fontId="11" fillId="4" borderId="1" xfId="0" applyNumberFormat="1" applyFont="1" applyFill="1" applyBorder="1" applyAlignment="1">
      <alignment horizontal="center" vertical="center" wrapText="1"/>
    </xf>
    <xf numFmtId="10" fontId="11" fillId="0" borderId="0" xfId="0" applyNumberFormat="1" applyFont="1" applyAlignment="1">
      <alignment horizontal="center" vertical="center" wrapText="1"/>
    </xf>
    <xf numFmtId="43" fontId="37" fillId="0" borderId="4" xfId="1" quotePrefix="1" applyFont="1" applyFill="1" applyBorder="1" applyAlignment="1">
      <alignment vertical="center"/>
    </xf>
    <xf numFmtId="10" fontId="37" fillId="0" borderId="4" xfId="2" applyNumberFormat="1" applyFont="1" applyFill="1" applyBorder="1" applyAlignment="1">
      <alignment vertical="center"/>
    </xf>
    <xf numFmtId="43" fontId="37" fillId="0" borderId="4" xfId="1" applyFont="1" applyFill="1" applyBorder="1" applyAlignment="1">
      <alignment vertical="center"/>
    </xf>
    <xf numFmtId="43" fontId="37" fillId="0" borderId="3" xfId="1" quotePrefix="1" applyFont="1" applyFill="1" applyBorder="1" applyAlignment="1">
      <alignment vertical="center"/>
    </xf>
    <xf numFmtId="10" fontId="37" fillId="0" borderId="3" xfId="2" applyNumberFormat="1" applyFont="1" applyFill="1" applyBorder="1" applyAlignment="1">
      <alignment vertical="center"/>
    </xf>
    <xf numFmtId="43" fontId="37" fillId="0" borderId="3" xfId="1" applyFont="1" applyFill="1" applyBorder="1" applyAlignment="1">
      <alignment vertical="center"/>
    </xf>
    <xf numFmtId="43" fontId="37" fillId="0" borderId="1" xfId="1" applyFont="1" applyFill="1" applyBorder="1" applyAlignment="1">
      <alignment vertical="center"/>
    </xf>
    <xf numFmtId="10" fontId="37" fillId="0" borderId="1" xfId="2" applyNumberFormat="1" applyFont="1" applyFill="1" applyBorder="1" applyAlignment="1">
      <alignment vertical="center"/>
    </xf>
    <xf numFmtId="164" fontId="71" fillId="0" borderId="1" xfId="2" applyNumberFormat="1" applyFont="1" applyFill="1" applyBorder="1" applyAlignment="1">
      <alignment vertical="center" wrapText="1"/>
    </xf>
    <xf numFmtId="0" fontId="7" fillId="0" borderId="4" xfId="0" applyFont="1" applyBorder="1" applyAlignment="1">
      <alignment vertical="center" wrapText="1"/>
    </xf>
    <xf numFmtId="10" fontId="71" fillId="0" borderId="1" xfId="2" applyNumberFormat="1" applyFont="1" applyFill="1" applyBorder="1" applyAlignment="1">
      <alignment vertical="center" wrapText="1"/>
    </xf>
    <xf numFmtId="0" fontId="7" fillId="0" borderId="1" xfId="0" applyFont="1" applyBorder="1" applyAlignment="1">
      <alignment vertical="center" wrapText="1"/>
    </xf>
    <xf numFmtId="43" fontId="71" fillId="0" borderId="1" xfId="0" applyNumberFormat="1" applyFont="1" applyBorder="1" applyAlignment="1">
      <alignment vertical="center" wrapText="1"/>
    </xf>
    <xf numFmtId="0" fontId="85" fillId="0" borderId="3" xfId="0" applyFont="1" applyBorder="1" applyAlignment="1">
      <alignment vertical="center" wrapText="1"/>
    </xf>
    <xf numFmtId="10" fontId="86" fillId="0" borderId="3" xfId="0" applyNumberFormat="1" applyFont="1" applyBorder="1" applyAlignment="1">
      <alignment vertical="center" wrapText="1"/>
    </xf>
    <xf numFmtId="0" fontId="7" fillId="0" borderId="2" xfId="0" applyFont="1" applyBorder="1" applyAlignment="1">
      <alignment vertical="center" wrapText="1"/>
    </xf>
    <xf numFmtId="43" fontId="64" fillId="4" borderId="4" xfId="0" applyNumberFormat="1" applyFont="1" applyFill="1" applyBorder="1" applyAlignment="1">
      <alignment vertical="center" wrapText="1"/>
    </xf>
    <xf numFmtId="165" fontId="68" fillId="4" borderId="0" xfId="0" applyNumberFormat="1" applyFont="1" applyFill="1" applyAlignment="1">
      <alignment horizontal="center" vertical="center" wrapText="1"/>
    </xf>
    <xf numFmtId="0" fontId="2" fillId="0" borderId="0" xfId="0" applyFont="1"/>
    <xf numFmtId="43" fontId="10" fillId="4" borderId="0" xfId="0" applyNumberFormat="1" applyFont="1" applyFill="1"/>
    <xf numFmtId="0" fontId="37" fillId="0" borderId="0" xfId="0" applyFont="1" applyAlignment="1">
      <alignment horizontal="right" vertical="center" wrapText="1"/>
    </xf>
    <xf numFmtId="0" fontId="22" fillId="0" borderId="6" xfId="0" applyFont="1" applyBorder="1" applyAlignment="1">
      <alignment horizontal="center" vertical="center" wrapText="1"/>
    </xf>
    <xf numFmtId="0" fontId="14" fillId="6" borderId="0" xfId="0" applyFont="1" applyFill="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0" xfId="0" applyFont="1" applyBorder="1" applyAlignment="1">
      <alignment horizontal="center" vertical="center" wrapText="1"/>
    </xf>
    <xf numFmtId="0" fontId="14" fillId="6" borderId="11" xfId="0" applyFont="1" applyFill="1" applyBorder="1" applyAlignment="1">
      <alignment horizontal="center" vertical="center" wrapText="1"/>
    </xf>
    <xf numFmtId="4" fontId="47" fillId="0" borderId="0" xfId="0" applyNumberFormat="1" applyFont="1" applyAlignment="1">
      <alignment horizontal="center" vertical="center" wrapText="1"/>
    </xf>
    <xf numFmtId="0" fontId="21" fillId="0" borderId="2" xfId="0" applyFont="1" applyBorder="1" applyAlignment="1">
      <alignment horizontal="center" vertical="center" wrapText="1"/>
    </xf>
    <xf numFmtId="0" fontId="0" fillId="4" borderId="0" xfId="0" applyFill="1" applyAlignment="1">
      <alignment horizontal="center" vertical="center" wrapText="1"/>
    </xf>
    <xf numFmtId="1" fontId="11" fillId="0" borderId="1" xfId="0" applyNumberFormat="1" applyFont="1" applyBorder="1" applyAlignment="1">
      <alignment horizontal="center" vertical="center" wrapText="1"/>
    </xf>
    <xf numFmtId="0" fontId="18" fillId="0" borderId="2" xfId="0" applyFont="1" applyBorder="1"/>
    <xf numFmtId="0" fontId="12" fillId="5" borderId="0" xfId="0" applyFont="1" applyFill="1"/>
    <xf numFmtId="4" fontId="12" fillId="5" borderId="0" xfId="0" applyNumberFormat="1" applyFont="1" applyFill="1"/>
    <xf numFmtId="0" fontId="10" fillId="5" borderId="0" xfId="0" applyFont="1" applyFill="1"/>
    <xf numFmtId="4" fontId="16" fillId="4" borderId="0" xfId="0" applyNumberFormat="1" applyFont="1" applyFill="1" applyAlignment="1">
      <alignment horizontal="center" vertical="center" wrapText="1"/>
    </xf>
    <xf numFmtId="0" fontId="68" fillId="0" borderId="0" xfId="0" applyFont="1"/>
    <xf numFmtId="43" fontId="12" fillId="5" borderId="0" xfId="0" applyNumberFormat="1" applyFont="1" applyFill="1"/>
    <xf numFmtId="0" fontId="12" fillId="6" borderId="0" xfId="0" applyFont="1" applyFill="1"/>
    <xf numFmtId="0" fontId="80" fillId="4" borderId="0" xfId="0" applyFont="1" applyFill="1"/>
    <xf numFmtId="165" fontId="53" fillId="0" borderId="1" xfId="3" applyNumberFormat="1" applyFont="1" applyBorder="1" applyAlignment="1">
      <alignment horizontal="right" vertical="center" wrapText="1"/>
    </xf>
    <xf numFmtId="0" fontId="53" fillId="0" borderId="1" xfId="3" applyFont="1" applyBorder="1" applyAlignment="1">
      <alignment horizontal="right" vertical="center" wrapText="1"/>
    </xf>
    <xf numFmtId="43" fontId="53" fillId="0" borderId="1" xfId="3" applyNumberFormat="1" applyFont="1" applyBorder="1" applyAlignment="1">
      <alignment horizontal="right" vertical="center" wrapText="1"/>
    </xf>
    <xf numFmtId="2" fontId="53" fillId="0" borderId="1" xfId="3" applyNumberFormat="1" applyFont="1" applyBorder="1" applyAlignment="1">
      <alignment horizontal="right" vertical="center" wrapText="1"/>
    </xf>
    <xf numFmtId="4" fontId="53" fillId="0" borderId="1" xfId="3" applyNumberFormat="1" applyFont="1" applyBorder="1" applyAlignment="1">
      <alignment horizontal="right" vertical="center" wrapText="1"/>
    </xf>
    <xf numFmtId="43" fontId="11" fillId="4" borderId="0" xfId="1" quotePrefix="1" applyFont="1" applyFill="1" applyAlignment="1">
      <alignment vertical="center"/>
    </xf>
    <xf numFmtId="0" fontId="14" fillId="6" borderId="1" xfId="0" applyFont="1" applyFill="1" applyBorder="1" applyAlignment="1">
      <alignment horizontal="center" vertical="center" wrapText="1"/>
    </xf>
    <xf numFmtId="0" fontId="14" fillId="6" borderId="0" xfId="0" applyFont="1" applyFill="1" applyAlignment="1">
      <alignment horizontal="center" vertical="center" wrapText="1"/>
    </xf>
    <xf numFmtId="0" fontId="11" fillId="4" borderId="1" xfId="0" applyFont="1" applyFill="1" applyBorder="1" applyAlignment="1">
      <alignment horizontal="center" vertical="center" wrapText="1"/>
    </xf>
    <xf numFmtId="14" fontId="84" fillId="4" borderId="1" xfId="0" applyNumberFormat="1" applyFont="1" applyFill="1" applyBorder="1" applyAlignment="1">
      <alignment horizontal="center" vertical="center" wrapText="1"/>
    </xf>
    <xf numFmtId="2" fontId="11" fillId="4" borderId="1" xfId="0" applyNumberFormat="1" applyFont="1" applyFill="1" applyBorder="1" applyAlignment="1">
      <alignment horizontal="center" vertical="center" wrapText="1"/>
    </xf>
    <xf numFmtId="1" fontId="37" fillId="4" borderId="1" xfId="3" applyNumberFormat="1" applyFont="1" applyFill="1" applyBorder="1" applyAlignment="1">
      <alignment horizontal="center" vertical="center" wrapText="1"/>
    </xf>
    <xf numFmtId="0" fontId="83" fillId="6" borderId="1" xfId="3" applyFont="1" applyFill="1" applyBorder="1" applyAlignment="1">
      <alignment horizontal="center" vertical="center" wrapText="1"/>
    </xf>
    <xf numFmtId="0" fontId="6" fillId="12" borderId="1" xfId="0" applyFont="1" applyFill="1" applyBorder="1" applyAlignment="1">
      <alignment horizontal="center" vertical="center" wrapText="1"/>
    </xf>
    <xf numFmtId="0" fontId="6" fillId="12" borderId="4" xfId="0" applyFont="1" applyFill="1" applyBorder="1" applyAlignment="1">
      <alignment horizontal="center" vertical="center" wrapText="1"/>
    </xf>
    <xf numFmtId="0" fontId="70"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3" fillId="0" borderId="0" xfId="0" applyFont="1" applyAlignment="1">
      <alignment horizontal="center" vertical="center" wrapText="1"/>
    </xf>
    <xf numFmtId="0" fontId="71" fillId="0" borderId="1" xfId="0" applyFont="1" applyBorder="1" applyAlignment="1">
      <alignment horizontal="center" vertical="center" wrapText="1"/>
    </xf>
    <xf numFmtId="43" fontId="11" fillId="0" borderId="9" xfId="1" applyFont="1" applyBorder="1" applyAlignment="1">
      <alignment horizontal="center" vertical="center" wrapText="1"/>
    </xf>
    <xf numFmtId="43" fontId="11" fillId="0" borderId="12" xfId="1" applyFont="1" applyBorder="1" applyAlignment="1">
      <alignment horizontal="center" vertical="center" wrapText="1"/>
    </xf>
    <xf numFmtId="0" fontId="6"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3" xfId="0" applyFont="1" applyBorder="1" applyAlignment="1">
      <alignment horizontal="lef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 fontId="11" fillId="0" borderId="0" xfId="0" quotePrefix="1" applyNumberFormat="1" applyFont="1" applyAlignment="1">
      <alignment horizontal="left"/>
    </xf>
    <xf numFmtId="4" fontId="11" fillId="0" borderId="1" xfId="0" quotePrefix="1" applyNumberFormat="1" applyFont="1" applyBorder="1" applyAlignment="1">
      <alignment horizontal="left" vertical="center" wrapText="1"/>
    </xf>
    <xf numFmtId="0" fontId="11" fillId="0" borderId="8" xfId="0" applyFont="1" applyBorder="1" applyAlignment="1">
      <alignment horizontal="center" vertical="center" wrapText="1"/>
    </xf>
    <xf numFmtId="0" fontId="14" fillId="6" borderId="0" xfId="0" applyFont="1" applyFill="1" applyAlignment="1">
      <alignment horizontal="center"/>
    </xf>
    <xf numFmtId="0" fontId="11" fillId="0" borderId="0" xfId="0" quotePrefix="1" applyFont="1" applyAlignment="1">
      <alignment horizontal="center" vertical="center" wrapText="1"/>
    </xf>
    <xf numFmtId="14" fontId="11" fillId="0" borderId="0" xfId="0" applyNumberFormat="1" applyFont="1" applyAlignment="1">
      <alignment horizontal="center" vertical="center" wrapText="1"/>
    </xf>
    <xf numFmtId="0" fontId="11" fillId="0" borderId="1" xfId="0" applyFont="1" applyBorder="1" applyAlignment="1">
      <alignment horizontal="center" vertical="center"/>
    </xf>
    <xf numFmtId="0" fontId="11" fillId="4" borderId="0" xfId="0" applyFont="1" applyFill="1" applyAlignment="1">
      <alignment horizontal="center" vertical="center"/>
    </xf>
    <xf numFmtId="169" fontId="11" fillId="4" borderId="9" xfId="0" quotePrefix="1" applyNumberFormat="1" applyFont="1" applyFill="1" applyBorder="1" applyAlignment="1">
      <alignment horizontal="center" vertical="center" wrapText="1"/>
    </xf>
    <xf numFmtId="169" fontId="11" fillId="4" borderId="8" xfId="0" quotePrefix="1" applyNumberFormat="1" applyFont="1" applyFill="1" applyBorder="1" applyAlignment="1">
      <alignment horizontal="center" vertical="center" wrapText="1"/>
    </xf>
    <xf numFmtId="0" fontId="11" fillId="4" borderId="0" xfId="0" applyFont="1" applyFill="1" applyAlignment="1">
      <alignment horizontal="center" vertical="center" wrapText="1"/>
    </xf>
    <xf numFmtId="0" fontId="11" fillId="0" borderId="0" xfId="0" applyFont="1" applyAlignment="1">
      <alignment horizontal="center"/>
    </xf>
    <xf numFmtId="4" fontId="11" fillId="0" borderId="0" xfId="0" quotePrefix="1" applyNumberFormat="1" applyFont="1" applyAlignment="1">
      <alignment horizontal="center" vertical="center" wrapText="1"/>
    </xf>
    <xf numFmtId="4" fontId="11" fillId="0" borderId="0" xfId="0" quotePrefix="1" applyNumberFormat="1" applyFont="1" applyAlignment="1">
      <alignment horizontal="center"/>
    </xf>
    <xf numFmtId="0" fontId="11" fillId="0" borderId="0" xfId="0" applyFont="1" applyAlignment="1">
      <alignment horizontal="center" vertical="center" wrapText="1"/>
    </xf>
    <xf numFmtId="4" fontId="11" fillId="0" borderId="1" xfId="0" quotePrefix="1" applyNumberFormat="1" applyFont="1" applyBorder="1" applyAlignment="1">
      <alignment horizontal="center" vertical="center" wrapText="1"/>
    </xf>
    <xf numFmtId="0" fontId="11" fillId="0" borderId="8" xfId="0" applyFont="1" applyBorder="1" applyAlignment="1">
      <alignment horizontal="center"/>
    </xf>
    <xf numFmtId="0" fontId="11" fillId="0" borderId="0" xfId="0" quotePrefix="1" applyFont="1" applyAlignment="1">
      <alignment horizontal="center"/>
    </xf>
    <xf numFmtId="0" fontId="16" fillId="0" borderId="0" xfId="0" applyFont="1" applyAlignment="1">
      <alignment horizontal="center"/>
    </xf>
    <xf numFmtId="0" fontId="10" fillId="0" borderId="0" xfId="0" applyFont="1" applyAlignment="1">
      <alignment horizontal="center"/>
    </xf>
    <xf numFmtId="0" fontId="22" fillId="4" borderId="0" xfId="0" applyFont="1" applyFill="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5" fillId="0" borderId="0" xfId="0" applyFont="1" applyAlignment="1">
      <alignment horizontal="center"/>
    </xf>
    <xf numFmtId="0" fontId="15" fillId="0" borderId="11" xfId="0" applyFont="1" applyBorder="1" applyAlignment="1">
      <alignment horizontal="center"/>
    </xf>
    <xf numFmtId="0" fontId="42" fillId="3" borderId="0" xfId="0" applyFont="1" applyFill="1" applyAlignment="1">
      <alignment horizontal="center" vertical="center" wrapText="1"/>
    </xf>
    <xf numFmtId="0" fontId="10" fillId="0" borderId="1" xfId="0" applyFont="1" applyBorder="1" applyAlignment="1">
      <alignment horizontal="center" vertical="center" wrapText="1"/>
    </xf>
    <xf numFmtId="4" fontId="68" fillId="0" borderId="0" xfId="0" applyNumberFormat="1" applyFont="1" applyAlignment="1">
      <alignment horizontal="center" vertical="center"/>
    </xf>
    <xf numFmtId="0" fontId="52" fillId="3" borderId="0" xfId="0" applyFont="1" applyFill="1" applyAlignment="1">
      <alignment horizontal="center" vertical="center" wrapText="1"/>
    </xf>
    <xf numFmtId="0" fontId="42" fillId="6" borderId="8" xfId="0" applyFont="1" applyFill="1" applyBorder="1" applyAlignment="1">
      <alignment horizontal="center" vertical="center" wrapText="1"/>
    </xf>
    <xf numFmtId="0" fontId="42" fillId="6" borderId="0" xfId="0" applyFont="1" applyFill="1" applyAlignment="1">
      <alignment horizontal="center" vertical="center" wrapText="1"/>
    </xf>
    <xf numFmtId="0" fontId="52" fillId="11" borderId="1" xfId="0" applyFont="1" applyFill="1" applyBorder="1" applyAlignment="1">
      <alignment horizontal="center" vertical="center" wrapText="1"/>
    </xf>
    <xf numFmtId="0" fontId="0" fillId="0" borderId="0" xfId="0" applyAlignment="1">
      <alignment horizontal="center"/>
    </xf>
    <xf numFmtId="0" fontId="52" fillId="2" borderId="1" xfId="0" applyFont="1" applyFill="1" applyBorder="1" applyAlignment="1">
      <alignment horizontal="center" vertical="center" wrapText="1"/>
    </xf>
    <xf numFmtId="0" fontId="52" fillId="6" borderId="1" xfId="0" applyFont="1" applyFill="1" applyBorder="1" applyAlignment="1">
      <alignment horizontal="center" vertical="center" wrapText="1"/>
    </xf>
    <xf numFmtId="0" fontId="11" fillId="0" borderId="4" xfId="0" applyFont="1" applyBorder="1" applyAlignment="1">
      <alignment horizontal="center" vertical="center" wrapText="1"/>
    </xf>
    <xf numFmtId="0" fontId="12" fillId="6" borderId="0" xfId="0" applyFont="1" applyFill="1" applyAlignment="1">
      <alignment horizontal="center"/>
    </xf>
    <xf numFmtId="0" fontId="15" fillId="0" borderId="1" xfId="0" applyFont="1" applyBorder="1" applyAlignment="1">
      <alignment horizontal="center" vertical="center"/>
    </xf>
    <xf numFmtId="0" fontId="52" fillId="5" borderId="0" xfId="0" applyFont="1" applyFill="1" applyAlignment="1">
      <alignment horizontal="center" vertical="center" wrapText="1"/>
    </xf>
    <xf numFmtId="0" fontId="52" fillId="5" borderId="11" xfId="0" applyFont="1" applyFill="1" applyBorder="1" applyAlignment="1">
      <alignment horizontal="center" vertical="center" wrapText="1"/>
    </xf>
    <xf numFmtId="0" fontId="52" fillId="3" borderId="11" xfId="0" applyFont="1" applyFill="1" applyBorder="1" applyAlignment="1">
      <alignment horizontal="center" vertical="center" wrapText="1"/>
    </xf>
    <xf numFmtId="0" fontId="52" fillId="5" borderId="1" xfId="0" applyFont="1" applyFill="1" applyBorder="1" applyAlignment="1">
      <alignment horizontal="center" vertical="center" wrapText="1"/>
    </xf>
    <xf numFmtId="0" fontId="53" fillId="4" borderId="1" xfId="0" applyFont="1" applyFill="1" applyBorder="1" applyAlignment="1">
      <alignment horizontal="center" vertical="center" wrapText="1"/>
    </xf>
    <xf numFmtId="0" fontId="12" fillId="6" borderId="0" xfId="0" applyFont="1" applyFill="1" applyAlignment="1">
      <alignment horizontal="center" vertical="center"/>
    </xf>
    <xf numFmtId="0" fontId="12" fillId="11" borderId="0" xfId="0" applyFont="1" applyFill="1" applyAlignment="1">
      <alignment horizontal="center" vertical="center"/>
    </xf>
    <xf numFmtId="0" fontId="10" fillId="4" borderId="0" xfId="0" applyFont="1" applyFill="1" applyAlignment="1">
      <alignment horizontal="center" vertical="center" wrapText="1"/>
    </xf>
    <xf numFmtId="0" fontId="68" fillId="13" borderId="1" xfId="0" applyFont="1" applyFill="1" applyBorder="1" applyAlignment="1">
      <alignment horizontal="center" vertical="center" wrapText="1"/>
    </xf>
    <xf numFmtId="0" fontId="68"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10" fillId="0" borderId="0" xfId="0" applyFont="1" applyAlignment="1">
      <alignment horizontal="left" vertical="center" wrapText="1"/>
    </xf>
    <xf numFmtId="0" fontId="12" fillId="6" borderId="0" xfId="0" applyFont="1" applyFill="1" applyAlignment="1">
      <alignment horizontal="center" vertical="center" wrapText="1"/>
    </xf>
    <xf numFmtId="0" fontId="12" fillId="6" borderId="11" xfId="0" applyFont="1" applyFill="1" applyBorder="1" applyAlignment="1">
      <alignment horizontal="center" vertical="center" wrapText="1"/>
    </xf>
    <xf numFmtId="0" fontId="12" fillId="6" borderId="15"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12" fillId="9" borderId="0" xfId="0" applyFont="1" applyFill="1" applyAlignment="1">
      <alignment horizontal="center" vertical="center" wrapText="1"/>
    </xf>
    <xf numFmtId="0" fontId="12" fillId="9" borderId="15" xfId="0" applyFont="1" applyFill="1" applyBorder="1" applyAlignment="1">
      <alignment horizontal="center" vertical="center" wrapText="1"/>
    </xf>
    <xf numFmtId="0" fontId="10" fillId="0" borderId="10" xfId="0" applyFont="1" applyBorder="1" applyAlignment="1">
      <alignment horizontal="center" vertical="center" wrapText="1"/>
    </xf>
    <xf numFmtId="0" fontId="10" fillId="0" borderId="5" xfId="0" applyFont="1" applyBorder="1" applyAlignment="1">
      <alignment horizontal="right" vertical="center"/>
    </xf>
    <xf numFmtId="0" fontId="10" fillId="0" borderId="10" xfId="0" applyFont="1" applyBorder="1" applyAlignment="1">
      <alignment horizontal="right" vertical="center"/>
    </xf>
    <xf numFmtId="0" fontId="10" fillId="0" borderId="6" xfId="0" applyFont="1" applyBorder="1" applyAlignment="1">
      <alignment horizontal="right" vertical="center"/>
    </xf>
    <xf numFmtId="0" fontId="10" fillId="0" borderId="7" xfId="0" applyFont="1" applyBorder="1" applyAlignment="1">
      <alignment horizontal="right" vertical="center" wrapText="1"/>
    </xf>
    <xf numFmtId="0" fontId="53" fillId="4" borderId="0" xfId="0" applyFont="1" applyFill="1" applyAlignment="1">
      <alignment horizontal="center" vertical="center" wrapText="1"/>
    </xf>
    <xf numFmtId="0" fontId="53" fillId="4" borderId="11" xfId="0" applyFont="1" applyFill="1" applyBorder="1" applyAlignment="1">
      <alignment horizontal="center" vertical="center" wrapText="1"/>
    </xf>
    <xf numFmtId="0" fontId="3" fillId="5" borderId="0" xfId="0" applyFont="1" applyFill="1" applyAlignment="1">
      <alignment horizontal="center" vertical="center" wrapText="1"/>
    </xf>
    <xf numFmtId="0" fontId="3" fillId="5" borderId="15" xfId="0" applyFont="1" applyFill="1" applyBorder="1" applyAlignment="1">
      <alignment horizontal="center" vertical="center" wrapText="1"/>
    </xf>
    <xf numFmtId="0" fontId="10" fillId="0" borderId="1" xfId="0" applyFont="1" applyBorder="1" applyAlignment="1">
      <alignment horizontal="center" vertical="center"/>
    </xf>
    <xf numFmtId="0" fontId="42" fillId="5" borderId="8" xfId="0" applyFont="1" applyFill="1" applyBorder="1" applyAlignment="1">
      <alignment horizontal="center" vertical="center" wrapText="1"/>
    </xf>
    <xf numFmtId="0" fontId="42" fillId="5" borderId="0" xfId="0" applyFont="1" applyFill="1" applyAlignment="1">
      <alignment horizontal="center" vertical="center" wrapText="1"/>
    </xf>
    <xf numFmtId="173" fontId="52" fillId="3" borderId="0" xfId="1" applyNumberFormat="1" applyFont="1" applyFill="1" applyBorder="1" applyAlignment="1">
      <alignment horizontal="center" vertical="center" wrapText="1"/>
    </xf>
    <xf numFmtId="173" fontId="52" fillId="6" borderId="0" xfId="1" applyNumberFormat="1" applyFont="1" applyFill="1" applyBorder="1" applyAlignment="1">
      <alignment horizontal="center" vertical="center" wrapText="1"/>
    </xf>
    <xf numFmtId="0" fontId="68" fillId="4" borderId="0" xfId="0" applyFont="1" applyFill="1" applyAlignment="1">
      <alignment horizontal="center" vertical="center" wrapText="1"/>
    </xf>
    <xf numFmtId="0" fontId="12" fillId="2" borderId="0" xfId="0" applyFont="1" applyFill="1" applyAlignment="1">
      <alignment horizontal="center" vertical="center"/>
    </xf>
    <xf numFmtId="0" fontId="81" fillId="5" borderId="0" xfId="0" applyFont="1" applyFill="1" applyAlignment="1">
      <alignment horizontal="center" vertical="center" wrapText="1"/>
    </xf>
    <xf numFmtId="0" fontId="0" fillId="0" borderId="1" xfId="0" applyBorder="1" applyAlignment="1">
      <alignment horizontal="center"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76" fillId="0" borderId="1" xfId="0" applyFont="1" applyBorder="1" applyAlignment="1">
      <alignment horizontal="center" vertical="center" wrapText="1"/>
    </xf>
    <xf numFmtId="0" fontId="52" fillId="6" borderId="0" xfId="0" applyFont="1" applyFill="1" applyAlignment="1">
      <alignment horizontal="center" vertical="center" wrapText="1"/>
    </xf>
    <xf numFmtId="0" fontId="35" fillId="0" borderId="0" xfId="0" applyFont="1" applyAlignment="1">
      <alignment horizontal="center" vertical="center" wrapText="1"/>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32" fillId="0" borderId="5" xfId="0" applyFont="1" applyBorder="1" applyAlignment="1">
      <alignment horizontal="center" vertical="center"/>
    </xf>
    <xf numFmtId="0" fontId="32" fillId="0" borderId="6" xfId="0" applyFont="1" applyBorder="1" applyAlignment="1">
      <alignment horizontal="center"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36" fillId="4" borderId="5" xfId="0" applyFont="1" applyFill="1" applyBorder="1" applyAlignment="1">
      <alignment horizontal="center" vertical="center" wrapText="1"/>
    </xf>
    <xf numFmtId="0" fontId="36" fillId="4" borderId="10" xfId="0" applyFont="1" applyFill="1" applyBorder="1" applyAlignment="1">
      <alignment horizontal="center" vertical="center" wrapText="1"/>
    </xf>
    <xf numFmtId="0" fontId="36" fillId="4" borderId="6" xfId="0" applyFont="1" applyFill="1" applyBorder="1" applyAlignment="1">
      <alignment horizontal="center" vertical="center" wrapText="1"/>
    </xf>
    <xf numFmtId="0" fontId="22" fillId="0" borderId="5" xfId="0" applyFont="1" applyBorder="1" applyAlignment="1">
      <alignment horizontal="left" vertical="center" wrapText="1" indent="1"/>
    </xf>
    <xf numFmtId="0" fontId="22" fillId="0" borderId="6" xfId="0" applyFont="1" applyBorder="1" applyAlignment="1">
      <alignment horizontal="left" vertical="center" wrapText="1" indent="1"/>
    </xf>
    <xf numFmtId="0" fontId="25" fillId="4" borderId="5" xfId="0" applyFont="1" applyFill="1" applyBorder="1" applyAlignment="1">
      <alignment horizontal="center" vertical="center"/>
    </xf>
    <xf numFmtId="0" fontId="25" fillId="4" borderId="6" xfId="0" applyFont="1" applyFill="1" applyBorder="1" applyAlignment="1">
      <alignment horizontal="center" vertical="center"/>
    </xf>
    <xf numFmtId="0" fontId="9" fillId="0" borderId="10" xfId="0" applyFont="1" applyBorder="1" applyAlignment="1">
      <alignment horizontal="left" vertical="center" wrapText="1"/>
    </xf>
    <xf numFmtId="0" fontId="9" fillId="0" borderId="6" xfId="0" applyFont="1" applyBorder="1" applyAlignment="1">
      <alignment horizontal="left" vertical="center" wrapText="1"/>
    </xf>
    <xf numFmtId="0" fontId="22" fillId="0" borderId="10" xfId="0" applyFont="1" applyBorder="1" applyAlignment="1">
      <alignment horizontal="left" vertical="center" wrapText="1"/>
    </xf>
    <xf numFmtId="0" fontId="31" fillId="4" borderId="5" xfId="0" applyFont="1" applyFill="1" applyBorder="1" applyAlignment="1">
      <alignment horizontal="center"/>
    </xf>
    <xf numFmtId="0" fontId="31" fillId="4" borderId="6" xfId="0" applyFont="1" applyFill="1" applyBorder="1" applyAlignment="1">
      <alignment horizontal="center"/>
    </xf>
    <xf numFmtId="0" fontId="22" fillId="0" borderId="5" xfId="0" applyFont="1" applyBorder="1" applyAlignment="1">
      <alignment vertical="center" wrapText="1"/>
    </xf>
    <xf numFmtId="0" fontId="22" fillId="0" borderId="6" xfId="0" applyFont="1" applyBorder="1" applyAlignment="1">
      <alignment vertical="center" wrapText="1"/>
    </xf>
    <xf numFmtId="0" fontId="9" fillId="0" borderId="10" xfId="0" applyFont="1" applyBorder="1" applyAlignment="1">
      <alignment vertical="center" wrapText="1"/>
    </xf>
    <xf numFmtId="0" fontId="9" fillId="0" borderId="6" xfId="0" applyFont="1" applyBorder="1" applyAlignment="1">
      <alignment vertical="center" wrapText="1"/>
    </xf>
    <xf numFmtId="0" fontId="16" fillId="4" borderId="9" xfId="0" applyFont="1" applyFill="1" applyBorder="1" applyAlignment="1">
      <alignment horizontal="center"/>
    </xf>
    <xf numFmtId="0" fontId="16" fillId="4" borderId="7" xfId="0" applyFont="1" applyFill="1" applyBorder="1" applyAlignment="1">
      <alignment horizont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9" fillId="0" borderId="1" xfId="0" applyFont="1" applyBorder="1" applyAlignment="1">
      <alignment vertical="center" wrapText="1"/>
    </xf>
    <xf numFmtId="0" fontId="15" fillId="4" borderId="5" xfId="0" applyFont="1" applyFill="1" applyBorder="1" applyAlignment="1">
      <alignment horizontal="center"/>
    </xf>
    <xf numFmtId="0" fontId="15" fillId="4" borderId="6" xfId="0" applyFont="1" applyFill="1" applyBorder="1" applyAlignment="1">
      <alignment horizontal="center"/>
    </xf>
    <xf numFmtId="0" fontId="22" fillId="4" borderId="5" xfId="0" applyFont="1" applyFill="1" applyBorder="1" applyAlignment="1">
      <alignment horizontal="center" vertical="center"/>
    </xf>
    <xf numFmtId="0" fontId="22" fillId="4" borderId="10" xfId="0" applyFont="1" applyFill="1" applyBorder="1" applyAlignment="1">
      <alignment horizontal="center" vertical="center"/>
    </xf>
    <xf numFmtId="0" fontId="22" fillId="4" borderId="6" xfId="0" applyFont="1" applyFill="1" applyBorder="1" applyAlignment="1">
      <alignment horizontal="center" vertical="center"/>
    </xf>
    <xf numFmtId="0" fontId="25" fillId="0" borderId="5" xfId="0" applyFont="1" applyBorder="1" applyAlignment="1">
      <alignment horizontal="center" vertical="center"/>
    </xf>
    <xf numFmtId="0" fontId="25" fillId="0" borderId="6"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vertical="center"/>
    </xf>
    <xf numFmtId="0" fontId="30" fillId="0" borderId="1" xfId="0" applyFont="1" applyBorder="1" applyAlignment="1">
      <alignment horizontal="center" vertical="center" wrapText="1"/>
    </xf>
    <xf numFmtId="0" fontId="12" fillId="5" borderId="5"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0" xfId="0" applyFont="1" applyAlignment="1">
      <alignment horizontal="center" vertical="center" wrapText="1"/>
    </xf>
    <xf numFmtId="169" fontId="30" fillId="0" borderId="1" xfId="0" applyNumberFormat="1" applyFont="1" applyBorder="1" applyAlignment="1">
      <alignment horizontal="center" vertical="center" wrapText="1"/>
    </xf>
    <xf numFmtId="4" fontId="51" fillId="0" borderId="5" xfId="0" applyNumberFormat="1" applyFont="1" applyBorder="1" applyAlignment="1">
      <alignment horizontal="center" vertical="center"/>
    </xf>
    <xf numFmtId="4" fontId="51" fillId="0" borderId="6" xfId="0" applyNumberFormat="1" applyFont="1" applyBorder="1" applyAlignment="1">
      <alignment horizontal="center" vertical="center"/>
    </xf>
    <xf numFmtId="4" fontId="51" fillId="0" borderId="5" xfId="0" quotePrefix="1" applyNumberFormat="1" applyFont="1" applyBorder="1" applyAlignment="1">
      <alignment horizontal="center" vertical="center"/>
    </xf>
    <xf numFmtId="4" fontId="51" fillId="0" borderId="6" xfId="0" quotePrefix="1" applyNumberFormat="1" applyFont="1" applyBorder="1" applyAlignment="1">
      <alignment horizontal="center" vertical="center"/>
    </xf>
    <xf numFmtId="0" fontId="59" fillId="3" borderId="16" xfId="3" applyFont="1" applyFill="1" applyBorder="1" applyAlignment="1">
      <alignment horizontal="center" vertical="center" wrapText="1"/>
    </xf>
    <xf numFmtId="0" fontId="61" fillId="0" borderId="5" xfId="3" applyFont="1" applyBorder="1" applyAlignment="1">
      <alignment horizontal="center" vertical="center" wrapText="1"/>
    </xf>
    <xf numFmtId="0" fontId="61" fillId="0" borderId="10" xfId="3" applyFont="1" applyBorder="1" applyAlignment="1">
      <alignment horizontal="center" vertical="center" wrapText="1"/>
    </xf>
    <xf numFmtId="0" fontId="61" fillId="0" borderId="6" xfId="3" applyFont="1" applyBorder="1" applyAlignment="1">
      <alignment horizontal="center" vertical="center" wrapText="1"/>
    </xf>
    <xf numFmtId="0" fontId="61" fillId="0" borderId="1" xfId="3" applyFont="1" applyBorder="1" applyAlignment="1">
      <alignment horizontal="center" vertical="center" wrapText="1"/>
    </xf>
    <xf numFmtId="1" fontId="37" fillId="0" borderId="5" xfId="3" applyNumberFormat="1" applyFont="1" applyBorder="1" applyAlignment="1">
      <alignment horizontal="center" vertical="center" wrapText="1"/>
    </xf>
    <xf numFmtId="1" fontId="37" fillId="0" borderId="10" xfId="3" applyNumberFormat="1" applyFont="1" applyBorder="1" applyAlignment="1">
      <alignment horizontal="center" vertical="center" wrapText="1"/>
    </xf>
    <xf numFmtId="1" fontId="37" fillId="0" borderId="6" xfId="3" applyNumberFormat="1" applyFont="1" applyBorder="1" applyAlignment="1">
      <alignment horizontal="center" vertical="center" wrapText="1"/>
    </xf>
    <xf numFmtId="0" fontId="37" fillId="0" borderId="5" xfId="3" applyFont="1" applyBorder="1" applyAlignment="1">
      <alignment horizontal="center" vertical="center" wrapText="1"/>
    </xf>
    <xf numFmtId="0" fontId="37" fillId="0" borderId="10" xfId="3" applyFont="1" applyBorder="1" applyAlignment="1">
      <alignment horizontal="center" vertical="center" wrapText="1"/>
    </xf>
    <xf numFmtId="0" fontId="37" fillId="0" borderId="6" xfId="3" applyFont="1" applyBorder="1" applyAlignment="1">
      <alignment horizontal="center" vertical="center" wrapText="1"/>
    </xf>
    <xf numFmtId="2" fontId="37" fillId="0" borderId="5" xfId="3" applyNumberFormat="1" applyFont="1" applyBorder="1" applyAlignment="1">
      <alignment horizontal="center" vertical="center" wrapText="1"/>
    </xf>
    <xf numFmtId="0" fontId="37" fillId="4" borderId="1" xfId="3" applyFont="1" applyFill="1" applyBorder="1" applyAlignment="1">
      <alignment horizontal="center" vertical="center" wrapText="1"/>
    </xf>
    <xf numFmtId="0" fontId="37" fillId="0" borderId="1" xfId="3" applyFont="1" applyBorder="1" applyAlignment="1">
      <alignment horizontal="left" vertical="center" wrapText="1"/>
    </xf>
    <xf numFmtId="0" fontId="53" fillId="0" borderId="2" xfId="3" applyFont="1" applyBorder="1" applyAlignment="1">
      <alignment horizontal="left" vertical="center" wrapText="1"/>
    </xf>
    <xf numFmtId="0" fontId="53" fillId="0" borderId="4" xfId="3" applyFont="1" applyBorder="1" applyAlignment="1">
      <alignment horizontal="left" vertical="center" wrapText="1"/>
    </xf>
    <xf numFmtId="0" fontId="37" fillId="0" borderId="9" xfId="3" applyFont="1" applyBorder="1" applyAlignment="1">
      <alignment horizontal="center" vertical="center" wrapText="1"/>
    </xf>
    <xf numFmtId="0" fontId="37" fillId="0" borderId="7" xfId="3" applyFont="1" applyBorder="1" applyAlignment="1">
      <alignment horizontal="center" vertical="center" wrapText="1"/>
    </xf>
    <xf numFmtId="0" fontId="37" fillId="0" borderId="12" xfId="3" applyFont="1" applyBorder="1" applyAlignment="1">
      <alignment horizontal="center" vertical="center" wrapText="1"/>
    </xf>
    <xf numFmtId="0" fontId="37" fillId="0" borderId="14" xfId="3" applyFont="1" applyBorder="1" applyAlignment="1">
      <alignment horizontal="center" vertical="center" wrapText="1"/>
    </xf>
    <xf numFmtId="0" fontId="37" fillId="0" borderId="15" xfId="3" applyFont="1" applyBorder="1" applyAlignment="1">
      <alignment horizontal="center" vertical="center" wrapText="1"/>
    </xf>
    <xf numFmtId="0" fontId="37" fillId="0" borderId="13" xfId="3" applyFont="1" applyBorder="1" applyAlignment="1">
      <alignment horizontal="center" vertical="center" wrapText="1"/>
    </xf>
    <xf numFmtId="14" fontId="53" fillId="0" borderId="5" xfId="0" applyNumberFormat="1" applyFont="1" applyBorder="1" applyAlignment="1">
      <alignment horizontal="center" vertical="center" wrapText="1"/>
    </xf>
    <xf numFmtId="14" fontId="53" fillId="0" borderId="10" xfId="0" applyNumberFormat="1" applyFont="1" applyBorder="1" applyAlignment="1">
      <alignment horizontal="center" vertical="center" wrapText="1"/>
    </xf>
    <xf numFmtId="14" fontId="53" fillId="0" borderId="6" xfId="0" applyNumberFormat="1" applyFont="1" applyBorder="1" applyAlignment="1">
      <alignment horizontal="center" vertical="center" wrapText="1"/>
    </xf>
    <xf numFmtId="0" fontId="17" fillId="9" borderId="5"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6" xfId="0" applyFont="1" applyBorder="1" applyAlignment="1">
      <alignment horizontal="center" vertical="center" wrapText="1"/>
    </xf>
    <xf numFmtId="0" fontId="60" fillId="0" borderId="5" xfId="3" applyFont="1" applyBorder="1" applyAlignment="1">
      <alignment horizontal="right" vertical="center" wrapText="1"/>
    </xf>
    <xf numFmtId="0" fontId="60" fillId="0" borderId="10" xfId="3" applyFont="1" applyBorder="1" applyAlignment="1">
      <alignment horizontal="right" vertical="center" wrapText="1"/>
    </xf>
    <xf numFmtId="0" fontId="60" fillId="0" borderId="6" xfId="3" applyFont="1" applyBorder="1" applyAlignment="1">
      <alignment horizontal="right" vertical="center" wrapText="1"/>
    </xf>
    <xf numFmtId="0" fontId="53" fillId="0" borderId="1" xfId="3" applyFont="1" applyBorder="1" applyAlignment="1">
      <alignment horizontal="center" vertical="center" wrapText="1"/>
    </xf>
    <xf numFmtId="0" fontId="61" fillId="0" borderId="1" xfId="0" applyFont="1" applyBorder="1" applyAlignment="1">
      <alignment horizontal="center" vertical="center" wrapText="1"/>
    </xf>
    <xf numFmtId="0" fontId="26" fillId="0" borderId="0" xfId="0" applyFont="1" applyAlignment="1">
      <alignment horizontal="center"/>
    </xf>
    <xf numFmtId="0" fontId="27" fillId="0" borderId="0" xfId="0" applyFont="1" applyAlignment="1">
      <alignment horizontal="left"/>
    </xf>
    <xf numFmtId="0" fontId="37" fillId="0" borderId="0" xfId="0" applyFont="1" applyAlignment="1">
      <alignment horizontal="center" vertical="center" wrapText="1"/>
    </xf>
    <xf numFmtId="0" fontId="37" fillId="0" borderId="11" xfId="0" applyFont="1" applyBorder="1" applyAlignment="1">
      <alignment horizontal="center" vertical="center" wrapText="1"/>
    </xf>
    <xf numFmtId="0" fontId="28" fillId="8" borderId="0" xfId="0" applyFont="1" applyFill="1" applyAlignment="1">
      <alignment horizontal="center" vertical="center" wrapText="1"/>
    </xf>
    <xf numFmtId="0" fontId="28" fillId="8" borderId="11" xfId="0" applyFont="1" applyFill="1" applyBorder="1" applyAlignment="1">
      <alignment horizontal="center" vertical="center" wrapText="1"/>
    </xf>
    <xf numFmtId="0" fontId="21" fillId="0" borderId="0" xfId="0" applyFont="1" applyAlignment="1">
      <alignment horizontal="center" vertical="center" wrapText="1"/>
    </xf>
    <xf numFmtId="0" fontId="25" fillId="8" borderId="0" xfId="0" applyFont="1" applyFill="1" applyAlignment="1">
      <alignment horizontal="center" vertical="center" wrapText="1"/>
    </xf>
    <xf numFmtId="0" fontId="25" fillId="8" borderId="11" xfId="0" applyFont="1" applyFill="1" applyBorder="1" applyAlignment="1">
      <alignment horizontal="center" vertical="center" wrapText="1"/>
    </xf>
    <xf numFmtId="0" fontId="49" fillId="12" borderId="1" xfId="0" applyFont="1" applyFill="1" applyBorder="1" applyAlignment="1">
      <alignment horizontal="center" vertical="center" wrapText="1"/>
    </xf>
    <xf numFmtId="0" fontId="49" fillId="13" borderId="1" xfId="0" applyFont="1" applyFill="1" applyBorder="1" applyAlignment="1">
      <alignment horizontal="center" vertical="center" wrapText="1"/>
    </xf>
    <xf numFmtId="0" fontId="60" fillId="0" borderId="5" xfId="0" applyFont="1" applyBorder="1" applyAlignment="1">
      <alignment horizontal="right" vertical="center" wrapText="1"/>
    </xf>
    <xf numFmtId="0" fontId="60" fillId="0" borderId="10" xfId="0" applyFont="1" applyBorder="1" applyAlignment="1">
      <alignment horizontal="right" vertical="center" wrapText="1"/>
    </xf>
    <xf numFmtId="0" fontId="60" fillId="0" borderId="6" xfId="0" applyFont="1" applyBorder="1" applyAlignment="1">
      <alignment horizontal="right" vertical="center" wrapText="1"/>
    </xf>
    <xf numFmtId="0" fontId="49" fillId="12" borderId="5" xfId="0" applyFont="1" applyFill="1" applyBorder="1" applyAlignment="1">
      <alignment horizontal="center" vertical="center" wrapText="1"/>
    </xf>
    <xf numFmtId="0" fontId="49" fillId="12" borderId="10" xfId="0" applyFont="1" applyFill="1" applyBorder="1" applyAlignment="1">
      <alignment horizontal="center" vertical="center" wrapText="1"/>
    </xf>
    <xf numFmtId="0" fontId="49" fillId="12" borderId="6" xfId="0" applyFont="1" applyFill="1" applyBorder="1" applyAlignment="1">
      <alignment horizontal="center" vertical="center" wrapText="1"/>
    </xf>
    <xf numFmtId="4" fontId="68" fillId="4" borderId="1" xfId="0" applyNumberFormat="1" applyFont="1" applyFill="1" applyBorder="1" applyAlignment="1">
      <alignment horizontal="center" vertical="center"/>
    </xf>
    <xf numFmtId="4" fontId="51" fillId="4" borderId="1" xfId="0" applyNumberFormat="1" applyFont="1" applyFill="1" applyBorder="1" applyAlignment="1">
      <alignment horizontal="center" vertical="center"/>
    </xf>
    <xf numFmtId="0" fontId="12" fillId="2" borderId="15" xfId="0" applyFont="1" applyFill="1" applyBorder="1" applyAlignment="1" applyProtection="1">
      <alignment horizontal="center" vertical="center" wrapText="1"/>
      <protection locked="0"/>
    </xf>
    <xf numFmtId="0" fontId="12" fillId="0" borderId="8" xfId="0" applyFont="1" applyBorder="1" applyAlignment="1">
      <alignment horizontal="center"/>
    </xf>
    <xf numFmtId="0" fontId="12" fillId="0" borderId="0" xfId="0" applyFont="1" applyAlignment="1">
      <alignment horizontal="center"/>
    </xf>
    <xf numFmtId="173" fontId="37" fillId="0" borderId="5" xfId="1" applyNumberFormat="1" applyFont="1" applyFill="1" applyBorder="1" applyAlignment="1">
      <alignment vertical="center"/>
    </xf>
    <xf numFmtId="173" fontId="37" fillId="0" borderId="10" xfId="1" applyNumberFormat="1" applyFont="1" applyFill="1" applyBorder="1" applyAlignment="1">
      <alignment vertical="center"/>
    </xf>
    <xf numFmtId="173" fontId="37" fillId="0" borderId="6" xfId="1" applyNumberFormat="1" applyFont="1" applyFill="1" applyBorder="1" applyAlignment="1">
      <alignment vertical="center"/>
    </xf>
    <xf numFmtId="0" fontId="85" fillId="0" borderId="8" xfId="0" applyFont="1" applyBorder="1" applyAlignment="1">
      <alignment vertical="center" wrapText="1"/>
    </xf>
    <xf numFmtId="0" fontId="85" fillId="0" borderId="0" xfId="0" applyFont="1" applyAlignment="1">
      <alignment vertical="center" wrapText="1"/>
    </xf>
    <xf numFmtId="0" fontId="85" fillId="0" borderId="11" xfId="0" applyFont="1" applyBorder="1" applyAlignment="1">
      <alignment vertical="center" wrapText="1"/>
    </xf>
    <xf numFmtId="0" fontId="30" fillId="4" borderId="0" xfId="0" applyFont="1" applyFill="1" applyAlignment="1">
      <alignment vertical="center" wrapText="1"/>
    </xf>
    <xf numFmtId="0" fontId="30" fillId="4" borderId="11" xfId="0" applyFont="1" applyFill="1" applyBorder="1" applyAlignment="1">
      <alignment vertical="center" wrapText="1"/>
    </xf>
    <xf numFmtId="0" fontId="14" fillId="6" borderId="0" xfId="0" applyFont="1" applyFill="1" applyAlignment="1" applyProtection="1">
      <alignment horizontal="center" vertical="center" wrapText="1"/>
      <protection locked="0"/>
    </xf>
    <xf numFmtId="0" fontId="14" fillId="0" borderId="8" xfId="0" applyFont="1" applyBorder="1" applyAlignment="1">
      <alignment vertical="center" wrapText="1"/>
    </xf>
    <xf numFmtId="0" fontId="14" fillId="0" borderId="11" xfId="0" applyFont="1" applyBorder="1" applyAlignment="1">
      <alignment vertical="center" wrapText="1"/>
    </xf>
    <xf numFmtId="0" fontId="71" fillId="0" borderId="1" xfId="0" applyFont="1" applyBorder="1" applyAlignment="1">
      <alignment vertical="center" wrapText="1"/>
    </xf>
    <xf numFmtId="0" fontId="82" fillId="0" borderId="5" xfId="0" applyFont="1" applyBorder="1" applyAlignment="1">
      <alignment vertical="center" wrapText="1"/>
    </xf>
    <xf numFmtId="0" fontId="82" fillId="0" borderId="6" xfId="0" applyFont="1" applyBorder="1" applyAlignment="1">
      <alignment vertical="center" wrapText="1"/>
    </xf>
    <xf numFmtId="0" fontId="14" fillId="6" borderId="5"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quotePrefix="1" applyFont="1" applyBorder="1" applyAlignment="1">
      <alignment horizontal="center" vertical="center" wrapText="1"/>
    </xf>
    <xf numFmtId="43" fontId="10" fillId="0" borderId="8" xfId="1" applyFont="1" applyBorder="1" applyAlignment="1">
      <alignment horizontal="center" vertical="center" wrapText="1"/>
    </xf>
    <xf numFmtId="43" fontId="10" fillId="0" borderId="0" xfId="1" applyFont="1" applyBorder="1" applyAlignment="1">
      <alignment horizontal="center" vertical="center" wrapText="1"/>
    </xf>
    <xf numFmtId="43" fontId="10" fillId="0" borderId="14" xfId="1" applyFont="1" applyBorder="1" applyAlignment="1">
      <alignment horizontal="center" vertical="center" wrapText="1"/>
    </xf>
    <xf numFmtId="43" fontId="10" fillId="0" borderId="15" xfId="1" applyFont="1" applyBorder="1" applyAlignment="1">
      <alignment horizontal="center" vertical="center" wrapText="1"/>
    </xf>
    <xf numFmtId="0" fontId="53" fillId="13" borderId="5" xfId="0" applyFont="1" applyFill="1" applyBorder="1" applyAlignment="1">
      <alignment horizontal="center" vertical="center" wrapText="1"/>
    </xf>
    <xf numFmtId="0" fontId="53" fillId="13" borderId="6" xfId="0" applyFont="1" applyFill="1" applyBorder="1" applyAlignment="1">
      <alignment horizontal="center" vertical="center" wrapText="1"/>
    </xf>
    <xf numFmtId="173" fontId="37" fillId="0" borderId="5" xfId="1" applyNumberFormat="1" applyFont="1" applyFill="1" applyBorder="1" applyAlignment="1">
      <alignment horizontal="center" vertical="center"/>
    </xf>
    <xf numFmtId="173" fontId="37" fillId="0" borderId="6" xfId="1" applyNumberFormat="1" applyFont="1" applyFill="1" applyBorder="1" applyAlignment="1">
      <alignment horizontal="center" vertical="center"/>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67" fillId="0" borderId="1" xfId="0" applyFont="1" applyBorder="1" applyAlignment="1">
      <alignment horizontal="right" vertical="center" wrapText="1"/>
    </xf>
    <xf numFmtId="0" fontId="37" fillId="0" borderId="1" xfId="0" applyFont="1" applyBorder="1" applyAlignment="1">
      <alignment horizontal="right" vertical="center" wrapText="1"/>
    </xf>
    <xf numFmtId="0" fontId="65" fillId="0" borderId="4" xfId="0" applyFont="1" applyBorder="1" applyAlignment="1">
      <alignment horizontal="center" vertical="center" wrapText="1"/>
    </xf>
    <xf numFmtId="4" fontId="21" fillId="0" borderId="9" xfId="0" applyNumberFormat="1" applyFont="1" applyBorder="1" applyAlignment="1">
      <alignment horizontal="center" vertical="center" wrapText="1"/>
    </xf>
    <xf numFmtId="0" fontId="21" fillId="0" borderId="12" xfId="0" applyFont="1" applyBorder="1" applyAlignment="1">
      <alignment horizontal="center" vertical="center" wrapText="1"/>
    </xf>
    <xf numFmtId="10" fontId="21" fillId="4" borderId="2" xfId="0" applyNumberFormat="1" applyFont="1" applyFill="1" applyBorder="1" applyAlignment="1">
      <alignment horizontal="center" vertical="center" wrapText="1"/>
    </xf>
    <xf numFmtId="0" fontId="21" fillId="4" borderId="2" xfId="0" applyFont="1" applyFill="1" applyBorder="1" applyAlignment="1">
      <alignment horizontal="center" vertical="center" wrapText="1"/>
    </xf>
    <xf numFmtId="0" fontId="87" fillId="0" borderId="1" xfId="0" applyFont="1" applyBorder="1" applyAlignment="1">
      <alignment horizontal="center" vertical="center" wrapText="1"/>
    </xf>
    <xf numFmtId="0" fontId="13" fillId="10" borderId="0" xfId="0" applyFont="1" applyFill="1" applyAlignment="1">
      <alignment horizontal="center" vertical="center" wrapText="1"/>
    </xf>
    <xf numFmtId="0" fontId="13" fillId="10" borderId="11" xfId="0" applyFont="1" applyFill="1" applyBorder="1" applyAlignment="1">
      <alignment horizontal="center" vertical="center" wrapText="1"/>
    </xf>
    <xf numFmtId="0" fontId="14" fillId="6" borderId="11" xfId="0" applyFont="1" applyFill="1" applyBorder="1" applyAlignment="1">
      <alignment horizontal="center" vertical="center" wrapText="1"/>
    </xf>
    <xf numFmtId="0" fontId="68" fillId="0" borderId="1" xfId="0" applyFont="1" applyBorder="1" applyAlignment="1">
      <alignment horizontal="right" vertical="center" wrapText="1"/>
    </xf>
    <xf numFmtId="0" fontId="48" fillId="0" borderId="1" xfId="0" applyFont="1" applyBorder="1" applyAlignment="1">
      <alignment horizontal="right" vertical="center" wrapText="1"/>
    </xf>
    <xf numFmtId="0" fontId="30" fillId="0" borderId="1" xfId="0" applyFont="1" applyBorder="1" applyAlignment="1">
      <alignment horizontal="right" vertical="center" wrapText="1"/>
    </xf>
    <xf numFmtId="0" fontId="22" fillId="0" borderId="1" xfId="0" applyFont="1" applyBorder="1" applyAlignment="1">
      <alignment horizontal="right" vertical="center" wrapText="1"/>
    </xf>
    <xf numFmtId="173" fontId="37" fillId="0" borderId="9" xfId="1" applyNumberFormat="1" applyFont="1" applyFill="1" applyBorder="1" applyAlignment="1">
      <alignment vertical="center"/>
    </xf>
    <xf numFmtId="173" fontId="37" fillId="0" borderId="7" xfId="1" applyNumberFormat="1" applyFont="1" applyFill="1" applyBorder="1" applyAlignment="1">
      <alignment vertical="center"/>
    </xf>
    <xf numFmtId="173" fontId="37" fillId="0" borderId="12" xfId="1" applyNumberFormat="1" applyFont="1" applyFill="1" applyBorder="1" applyAlignment="1">
      <alignment vertical="center"/>
    </xf>
    <xf numFmtId="173" fontId="37" fillId="0" borderId="1" xfId="1" applyNumberFormat="1" applyFont="1" applyFill="1" applyBorder="1" applyAlignment="1">
      <alignment vertical="center"/>
    </xf>
    <xf numFmtId="0" fontId="7" fillId="0" borderId="1" xfId="0" applyFont="1" applyBorder="1" applyAlignment="1">
      <alignment horizontal="center" vertical="center" wrapText="1"/>
    </xf>
    <xf numFmtId="173" fontId="17" fillId="2" borderId="4" xfId="1" applyNumberFormat="1"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174" fontId="52" fillId="2" borderId="1" xfId="1" applyNumberFormat="1" applyFont="1" applyFill="1" applyBorder="1" applyAlignment="1">
      <alignment horizontal="center" vertical="center" wrapText="1"/>
    </xf>
    <xf numFmtId="174" fontId="53" fillId="0" borderId="0" xfId="1" applyNumberFormat="1" applyFont="1" applyBorder="1" applyAlignment="1">
      <alignment horizontal="center" vertical="center" wrapText="1"/>
    </xf>
    <xf numFmtId="4" fontId="51" fillId="4" borderId="5" xfId="0" quotePrefix="1" applyNumberFormat="1" applyFont="1" applyFill="1" applyBorder="1" applyAlignment="1">
      <alignment horizontal="center" vertical="center"/>
    </xf>
    <xf numFmtId="4" fontId="51" fillId="4" borderId="6" xfId="0" quotePrefix="1" applyNumberFormat="1" applyFont="1" applyFill="1" applyBorder="1" applyAlignment="1">
      <alignment horizontal="center" vertical="center"/>
    </xf>
    <xf numFmtId="4" fontId="51" fillId="4" borderId="5" xfId="0" applyNumberFormat="1" applyFont="1" applyFill="1" applyBorder="1" applyAlignment="1">
      <alignment horizontal="center" vertical="center"/>
    </xf>
    <xf numFmtId="4" fontId="51" fillId="4" borderId="6" xfId="0" applyNumberFormat="1" applyFont="1" applyFill="1" applyBorder="1" applyAlignment="1">
      <alignment horizontal="center" vertical="center"/>
    </xf>
    <xf numFmtId="0" fontId="48" fillId="8" borderId="0" xfId="0" applyFont="1" applyFill="1" applyAlignment="1">
      <alignment horizontal="center" vertical="center" wrapText="1"/>
    </xf>
    <xf numFmtId="0" fontId="48" fillId="8" borderId="11" xfId="0" applyFont="1" applyFill="1" applyBorder="1" applyAlignment="1">
      <alignment horizontal="center" vertical="center" wrapText="1"/>
    </xf>
    <xf numFmtId="0" fontId="17" fillId="6" borderId="0" xfId="0" applyFont="1" applyFill="1" applyAlignment="1">
      <alignment horizontal="center" vertical="center" wrapText="1"/>
    </xf>
    <xf numFmtId="0" fontId="17" fillId="6" borderId="11"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6" xfId="0" applyFont="1" applyFill="1" applyBorder="1" applyAlignment="1">
      <alignment horizontal="center" vertical="center" wrapText="1"/>
    </xf>
    <xf numFmtId="0" fontId="75" fillId="5" borderId="15" xfId="0" applyFont="1" applyFill="1" applyBorder="1" applyAlignment="1">
      <alignment horizontal="center" vertical="center"/>
    </xf>
    <xf numFmtId="0" fontId="11" fillId="0" borderId="1" xfId="0" applyFont="1" applyBorder="1" applyAlignment="1">
      <alignment horizontal="center"/>
    </xf>
    <xf numFmtId="0" fontId="30" fillId="0" borderId="15" xfId="0" applyFont="1" applyBorder="1" applyAlignment="1">
      <alignment horizontal="center" vertical="center"/>
    </xf>
    <xf numFmtId="0" fontId="11" fillId="0" borderId="5" xfId="0" applyFont="1" applyBorder="1" applyAlignment="1">
      <alignment horizontal="center"/>
    </xf>
    <xf numFmtId="0" fontId="11" fillId="0" borderId="6" xfId="0" applyFont="1" applyBorder="1" applyAlignment="1">
      <alignment horizontal="center"/>
    </xf>
  </cellXfs>
  <cellStyles count="5">
    <cellStyle name="Milliers" xfId="1" builtinId="3"/>
    <cellStyle name="Normal" xfId="0" builtinId="0"/>
    <cellStyle name="Normal 2" xfId="4" xr:uid="{0F5C3F60-8EC2-49AE-9F90-6C58262DED4F}"/>
    <cellStyle name="Normal_LAMA" xfId="3" xr:uid="{22B0D6EE-EC8E-4FEC-8FA6-628376106A77}"/>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xdr:col>
      <xdr:colOff>2047875</xdr:colOff>
      <xdr:row>141</xdr:row>
      <xdr:rowOff>9525</xdr:rowOff>
    </xdr:from>
    <xdr:to>
      <xdr:col>5</xdr:col>
      <xdr:colOff>304800</xdr:colOff>
      <xdr:row>143</xdr:row>
      <xdr:rowOff>9525</xdr:rowOff>
    </xdr:to>
    <xdr:cxnSp macro="">
      <xdr:nvCxnSpPr>
        <xdr:cNvPr id="2" name="Connecteur droit avec flèche 1">
          <a:extLst>
            <a:ext uri="{FF2B5EF4-FFF2-40B4-BE49-F238E27FC236}">
              <a16:creationId xmlns:a16="http://schemas.microsoft.com/office/drawing/2014/main" id="{3D83F1C9-63A8-4FC7-87B7-3939C4CF4E26}"/>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140</xdr:row>
      <xdr:rowOff>9525</xdr:rowOff>
    </xdr:from>
    <xdr:to>
      <xdr:col>5</xdr:col>
      <xdr:colOff>304800</xdr:colOff>
      <xdr:row>142</xdr:row>
      <xdr:rowOff>9525</xdr:rowOff>
    </xdr:to>
    <xdr:cxnSp macro="">
      <xdr:nvCxnSpPr>
        <xdr:cNvPr id="3" name="Connecteur droit avec flèche 2">
          <a:extLst>
            <a:ext uri="{FF2B5EF4-FFF2-40B4-BE49-F238E27FC236}">
              <a16:creationId xmlns:a16="http://schemas.microsoft.com/office/drawing/2014/main" id="{4008FD9E-2AEB-40A4-91F6-9A3CE93D0CC2}"/>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166</xdr:row>
      <xdr:rowOff>0</xdr:rowOff>
    </xdr:from>
    <xdr:to>
      <xdr:col>4</xdr:col>
      <xdr:colOff>1600200</xdr:colOff>
      <xdr:row>174</xdr:row>
      <xdr:rowOff>101200</xdr:rowOff>
    </xdr:to>
    <xdr:pic>
      <xdr:nvPicPr>
        <xdr:cNvPr id="2" name="Image 1">
          <a:extLst>
            <a:ext uri="{FF2B5EF4-FFF2-40B4-BE49-F238E27FC236}">
              <a16:creationId xmlns:a16="http://schemas.microsoft.com/office/drawing/2014/main" id="{9127B5FA-565D-97AF-36DC-E0C8629DCA56}"/>
            </a:ext>
          </a:extLst>
        </xdr:cNvPr>
        <xdr:cNvPicPr>
          <a:picLocks noChangeAspect="1"/>
        </xdr:cNvPicPr>
      </xdr:nvPicPr>
      <xdr:blipFill>
        <a:blip xmlns:r="http://schemas.openxmlformats.org/officeDocument/2006/relationships" r:embed="rId1"/>
        <a:stretch>
          <a:fillRect/>
        </a:stretch>
      </xdr:blipFill>
      <xdr:spPr>
        <a:xfrm>
          <a:off x="1028700" y="32445960"/>
          <a:ext cx="7612380" cy="1686160"/>
        </a:xfrm>
        <a:prstGeom prst="rect">
          <a:avLst/>
        </a:prstGeom>
      </xdr:spPr>
    </xdr:pic>
    <xdr:clientData/>
  </xdr:twoCellAnchor>
  <xdr:twoCellAnchor editAs="oneCell">
    <xdr:from>
      <xdr:col>1</xdr:col>
      <xdr:colOff>1</xdr:colOff>
      <xdr:row>176</xdr:row>
      <xdr:rowOff>0</xdr:rowOff>
    </xdr:from>
    <xdr:to>
      <xdr:col>4</xdr:col>
      <xdr:colOff>1577341</xdr:colOff>
      <xdr:row>183</xdr:row>
      <xdr:rowOff>194531</xdr:rowOff>
    </xdr:to>
    <xdr:pic>
      <xdr:nvPicPr>
        <xdr:cNvPr id="3" name="Image 2">
          <a:extLst>
            <a:ext uri="{FF2B5EF4-FFF2-40B4-BE49-F238E27FC236}">
              <a16:creationId xmlns:a16="http://schemas.microsoft.com/office/drawing/2014/main" id="{64F7B05C-7580-E8BD-8415-61045A5768FC}"/>
            </a:ext>
          </a:extLst>
        </xdr:cNvPr>
        <xdr:cNvPicPr>
          <a:picLocks noChangeAspect="1"/>
        </xdr:cNvPicPr>
      </xdr:nvPicPr>
      <xdr:blipFill>
        <a:blip xmlns:r="http://schemas.openxmlformats.org/officeDocument/2006/relationships" r:embed="rId2"/>
        <a:stretch>
          <a:fillRect/>
        </a:stretch>
      </xdr:blipFill>
      <xdr:spPr>
        <a:xfrm>
          <a:off x="1028701" y="34427160"/>
          <a:ext cx="7589520" cy="15813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532131</xdr:colOff>
      <xdr:row>145</xdr:row>
      <xdr:rowOff>175260</xdr:rowOff>
    </xdr:from>
    <xdr:to>
      <xdr:col>9</xdr:col>
      <xdr:colOff>706121</xdr:colOff>
      <xdr:row>153</xdr:row>
      <xdr:rowOff>23094</xdr:rowOff>
    </xdr:to>
    <xdr:pic>
      <xdr:nvPicPr>
        <xdr:cNvPr id="2" name="Image 1">
          <a:extLst>
            <a:ext uri="{FF2B5EF4-FFF2-40B4-BE49-F238E27FC236}">
              <a16:creationId xmlns:a16="http://schemas.microsoft.com/office/drawing/2014/main" id="{272DE66E-67E4-D3A9-8E21-12CAD426AAE7}"/>
            </a:ext>
          </a:extLst>
        </xdr:cNvPr>
        <xdr:cNvPicPr>
          <a:picLocks noChangeAspect="1"/>
        </xdr:cNvPicPr>
      </xdr:nvPicPr>
      <xdr:blipFill>
        <a:blip xmlns:r="http://schemas.openxmlformats.org/officeDocument/2006/relationships" r:embed="rId1"/>
        <a:stretch>
          <a:fillRect/>
        </a:stretch>
      </xdr:blipFill>
      <xdr:spPr>
        <a:xfrm>
          <a:off x="532131" y="39411910"/>
          <a:ext cx="10435590" cy="167663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30480</xdr:colOff>
      <xdr:row>48</xdr:row>
      <xdr:rowOff>60960</xdr:rowOff>
    </xdr:from>
    <xdr:to>
      <xdr:col>14</xdr:col>
      <xdr:colOff>769620</xdr:colOff>
      <xdr:row>53</xdr:row>
      <xdr:rowOff>165872</xdr:rowOff>
    </xdr:to>
    <xdr:pic>
      <xdr:nvPicPr>
        <xdr:cNvPr id="6" name="Image 5">
          <a:extLst>
            <a:ext uri="{FF2B5EF4-FFF2-40B4-BE49-F238E27FC236}">
              <a16:creationId xmlns:a16="http://schemas.microsoft.com/office/drawing/2014/main" id="{36E69A34-EA35-E098-3AE4-1AAD4AC1A16F}"/>
            </a:ext>
          </a:extLst>
        </xdr:cNvPr>
        <xdr:cNvPicPr>
          <a:picLocks noChangeAspect="1"/>
        </xdr:cNvPicPr>
      </xdr:nvPicPr>
      <xdr:blipFill>
        <a:blip xmlns:r="http://schemas.openxmlformats.org/officeDocument/2006/relationships" r:embed="rId1"/>
        <a:stretch>
          <a:fillRect/>
        </a:stretch>
      </xdr:blipFill>
      <xdr:spPr>
        <a:xfrm>
          <a:off x="822960" y="8191500"/>
          <a:ext cx="10447020" cy="9812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PAIE%20BTP%202025/1.%20TRAVAIL/BTP%20&#178;.xlsx" TargetMode="External"/><Relationship Id="rId1" Type="http://schemas.openxmlformats.org/officeDocument/2006/relationships/externalLinkPath" Target="https://d.docs.live.net/fa77d33fea66a78b/Desktop/PAIE%20BTP%202025/1.%20TRAVAIL/BTP%20&#17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TATION "/>
      <sheetName val="INTRODUCTION "/>
      <sheetName val="EXPLICATIONS FEUILLE HEURES SUP"/>
      <sheetName val="MASQUE DE SAISIE "/>
      <sheetName val="SIRET NAF "/>
      <sheetName val="BP VERSION JANVIER 2023"/>
      <sheetName val="BP FORMAT JUILLET 2023"/>
      <sheetName val="FEUILLE DE CONTROLE "/>
      <sheetName val="BP 2025"/>
      <sheetName val="HEURES SUPPLEMENTAIRES "/>
      <sheetName val="TABLE DES TAUX 2025 "/>
      <sheetName val="TR Matrice Net Imposable "/>
      <sheetName val="TR Matrice Cotisations "/>
      <sheetName val="TRAME DE BP AMELIOREE  "/>
      <sheetName val="RED. GEN. de COT. Janv"/>
      <sheetName val="Red Gen de CoBP Format Juillet"/>
      <sheetName val="TAUX NEUTRE "/>
      <sheetName val="TAUX NEUTRE JANVIER  "/>
      <sheetName val="TAUX NEUTRE MAI "/>
      <sheetName val="MATRICE IJSS ABSENCE "/>
      <sheetName val="MATRICE IJSS MALADIE"/>
      <sheetName val="MATRICE IJSS MATERNITE "/>
      <sheetName val="MATRICE ISS AT "/>
    </sheetNames>
    <sheetDataSet>
      <sheetData sheetId="0" refreshError="1"/>
      <sheetData sheetId="1" refreshError="1"/>
      <sheetData sheetId="2" refreshError="1"/>
      <sheetData sheetId="3" refreshError="1">
        <row r="9">
          <cell r="G9">
            <v>20</v>
          </cell>
        </row>
        <row r="39">
          <cell r="E39">
            <v>45658</v>
          </cell>
        </row>
      </sheetData>
      <sheetData sheetId="4" refreshError="1"/>
      <sheetData sheetId="5" refreshError="1"/>
      <sheetData sheetId="6" refreshError="1">
        <row r="9">
          <cell r="B9">
            <v>20</v>
          </cell>
        </row>
        <row r="10">
          <cell r="H10">
            <v>45658</v>
          </cell>
        </row>
      </sheetData>
      <sheetData sheetId="7" refreshError="1"/>
      <sheetData sheetId="8" refreshError="1"/>
      <sheetData sheetId="9" refreshError="1"/>
      <sheetData sheetId="10" refreshError="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cell r="D5"/>
        </row>
        <row r="6">
          <cell r="A6" t="str">
            <v xml:space="preserve">Mutuelle Non Cadres </v>
          </cell>
          <cell r="B6"/>
          <cell r="C6"/>
          <cell r="D6"/>
        </row>
        <row r="7">
          <cell r="A7"/>
          <cell r="B7"/>
          <cell r="C7"/>
          <cell r="D7"/>
        </row>
        <row r="8">
          <cell r="A8" t="str">
            <v xml:space="preserve">ACCIDENT DU TRAVAIL - MALADIES PROFESSIONNELLES </v>
          </cell>
          <cell r="B8"/>
          <cell r="C8"/>
          <cell r="D8"/>
        </row>
        <row r="9">
          <cell r="A9" t="str">
            <v xml:space="preserve">FAMILLE </v>
          </cell>
          <cell r="B9"/>
          <cell r="C9"/>
          <cell r="D9"/>
        </row>
        <row r="10">
          <cell r="A10" t="str">
            <v xml:space="preserve">Allocations Familiales Taux de Base </v>
          </cell>
          <cell r="B10"/>
          <cell r="C10"/>
          <cell r="D10">
            <v>3.4500000000000003E-2</v>
          </cell>
        </row>
        <row r="11">
          <cell r="A11" t="str">
            <v xml:space="preserve">Allocations Famliales Taux Majoré </v>
          </cell>
          <cell r="B11"/>
          <cell r="C11"/>
          <cell r="D11">
            <v>1.7999999999999999E-2</v>
          </cell>
        </row>
        <row r="12">
          <cell r="A12" t="str">
            <v xml:space="preserve">ASSURANCE CHÔMAGE </v>
          </cell>
          <cell r="B12"/>
          <cell r="C12"/>
          <cell r="D12"/>
        </row>
        <row r="13">
          <cell r="A13" t="str">
            <v>Chômage ( TA+TB)</v>
          </cell>
          <cell r="B13"/>
          <cell r="C13"/>
          <cell r="D13">
            <v>4.0500000000000001E-2</v>
          </cell>
        </row>
        <row r="14">
          <cell r="A14" t="str">
            <v>AGS (TA+TB)</v>
          </cell>
          <cell r="B14"/>
          <cell r="C14"/>
          <cell r="D14">
            <v>2.5000000000000001E-3</v>
          </cell>
        </row>
        <row r="15">
          <cell r="A15" t="str">
            <v>APEC (TA+TB)</v>
          </cell>
          <cell r="B15"/>
          <cell r="C15">
            <v>2.4000000000000001E-4</v>
          </cell>
          <cell r="D15">
            <v>3.6000000000000002E-4</v>
          </cell>
        </row>
        <row r="16">
          <cell r="A16" t="str">
            <v xml:space="preserve">RETRAITE </v>
          </cell>
          <cell r="B16"/>
          <cell r="C16"/>
          <cell r="D16"/>
        </row>
        <row r="17">
          <cell r="A17" t="str">
            <v>Sécurité Sociale Plafonnée</v>
          </cell>
          <cell r="B17"/>
          <cell r="C17">
            <v>6.9000000000000006E-2</v>
          </cell>
          <cell r="D17">
            <v>8.5500000000000007E-2</v>
          </cell>
        </row>
        <row r="18">
          <cell r="A18" t="str">
            <v xml:space="preserve">Sécurité Sociale déplafonnée </v>
          </cell>
          <cell r="B18"/>
          <cell r="C18">
            <v>4.0000000000000001E-3</v>
          </cell>
          <cell r="D18">
            <v>2.0199999999999999E-2</v>
          </cell>
        </row>
        <row r="19">
          <cell r="A19" t="str">
            <v>Complémentaire T1</v>
          </cell>
          <cell r="B19"/>
          <cell r="C19">
            <v>3.15E-2</v>
          </cell>
          <cell r="D19">
            <v>4.7199999999999999E-2</v>
          </cell>
        </row>
        <row r="20">
          <cell r="A20" t="str">
            <v xml:space="preserve">Complémentaire T2 </v>
          </cell>
          <cell r="B20"/>
          <cell r="C20">
            <v>8.6400000000000005E-2</v>
          </cell>
          <cell r="D20">
            <v>0.1295</v>
          </cell>
        </row>
        <row r="21">
          <cell r="A21" t="str">
            <v>Contribution d'équilibre général  T1 (CEG T1)</v>
          </cell>
          <cell r="B21"/>
          <cell r="C21">
            <v>8.6E-3</v>
          </cell>
          <cell r="D21">
            <v>1.29E-2</v>
          </cell>
        </row>
        <row r="22">
          <cell r="A22" t="str">
            <v>Contribution d'équilibre général  T2 (CEG T2)</v>
          </cell>
          <cell r="B22"/>
          <cell r="C22">
            <v>1.0800000000000001E-2</v>
          </cell>
          <cell r="D22">
            <v>1.6199999999999999E-2</v>
          </cell>
        </row>
        <row r="23">
          <cell r="A23" t="str">
            <v>Contribution d'équilibre Technique  T1 (CET T1)</v>
          </cell>
          <cell r="B23"/>
          <cell r="C23">
            <v>1.4E-3</v>
          </cell>
          <cell r="D23">
            <v>2.0999999999999999E-3</v>
          </cell>
        </row>
        <row r="24">
          <cell r="A24" t="str">
            <v xml:space="preserve">Contribution d'équilibre Technique  T2 (CET T2) </v>
          </cell>
          <cell r="B24"/>
          <cell r="C24">
            <v>1.4E-3</v>
          </cell>
          <cell r="D24">
            <v>2.0999999999999999E-3</v>
          </cell>
        </row>
        <row r="25">
          <cell r="A25"/>
          <cell r="B25"/>
          <cell r="C25"/>
          <cell r="D25"/>
        </row>
        <row r="26">
          <cell r="A26" t="str">
            <v xml:space="preserve">URSSAF FNAL Taux réduit  TA </v>
          </cell>
          <cell r="B26"/>
          <cell r="C26"/>
          <cell r="D26">
            <v>1E-3</v>
          </cell>
        </row>
        <row r="27">
          <cell r="A27" t="str">
            <v xml:space="preserve">URSSAF FNAL Totalité </v>
          </cell>
          <cell r="B27"/>
          <cell r="C27"/>
          <cell r="D27">
            <v>5.0000000000000001E-3</v>
          </cell>
        </row>
        <row r="28">
          <cell r="A28" t="str">
            <v xml:space="preserve">Versement Mobilité </v>
          </cell>
          <cell r="B28"/>
          <cell r="C28"/>
          <cell r="D28">
            <v>3.2000000000000001E-2</v>
          </cell>
        </row>
        <row r="29">
          <cell r="A29" t="str">
            <v>Contribution de solidarité pour l'autonomie</v>
          </cell>
          <cell r="B29"/>
          <cell r="C29"/>
          <cell r="D29">
            <v>3.0000000000000001E-3</v>
          </cell>
        </row>
        <row r="30">
          <cell r="A30" t="str">
            <v>Forfait social</v>
          </cell>
          <cell r="B30"/>
          <cell r="C30"/>
          <cell r="D30">
            <v>0.08</v>
          </cell>
        </row>
        <row r="31">
          <cell r="A31" t="str">
            <v xml:space="preserve">Forfait social sur Retraite Supplémentaire Art 83 </v>
          </cell>
          <cell r="B31"/>
          <cell r="C31"/>
          <cell r="D31">
            <v>0.2</v>
          </cell>
        </row>
        <row r="32">
          <cell r="A32" t="str">
            <v xml:space="preserve">Contribution dialogue social </v>
          </cell>
          <cell r="B32"/>
          <cell r="C32"/>
          <cell r="D32">
            <v>1.6000000000000001E-4</v>
          </cell>
        </row>
        <row r="33">
          <cell r="A33" t="str">
            <v>CUFPA 
(Contribution Unique à la Formation Professionnelle et à l'Apprentissage)</v>
          </cell>
          <cell r="B33"/>
          <cell r="C33"/>
          <cell r="D33">
            <v>1.6800000000000002E-2</v>
          </cell>
        </row>
        <row r="34">
          <cell r="A34" t="str">
            <v xml:space="preserve">CUFPA </v>
          </cell>
          <cell r="B34"/>
          <cell r="C34"/>
          <cell r="D34">
            <v>1.2300000000000002E-2</v>
          </cell>
        </row>
        <row r="35">
          <cell r="A35" t="str">
            <v xml:space="preserve">Participation à l'effort de construction </v>
          </cell>
          <cell r="B35"/>
          <cell r="C35"/>
          <cell r="D35">
            <v>4.4999999999999997E-3</v>
          </cell>
        </row>
        <row r="36">
          <cell r="A36"/>
          <cell r="B36"/>
          <cell r="C36"/>
          <cell r="D36"/>
        </row>
        <row r="37">
          <cell r="A37" t="str">
            <v xml:space="preserve">C.S.G  déductible de l'impôt sur le revenu </v>
          </cell>
          <cell r="B37"/>
          <cell r="C37">
            <v>6.8000000000000005E-2</v>
          </cell>
          <cell r="D37"/>
        </row>
        <row r="38">
          <cell r="A38" t="str">
            <v xml:space="preserve">C.S.G./ C.R.D.S non déductible de l'impôt sur le revenu </v>
          </cell>
          <cell r="B38"/>
          <cell r="C38">
            <v>2.9000000000000001E-2</v>
          </cell>
          <cell r="D38"/>
        </row>
        <row r="39">
          <cell r="A39" t="str">
            <v xml:space="preserve">CSG  6,8 % sur Heures Supplémentaires  Non déductible </v>
          </cell>
          <cell r="B39"/>
          <cell r="C39">
            <v>6.8000000000000005E-2</v>
          </cell>
          <cell r="D39"/>
        </row>
        <row r="40">
          <cell r="A40" t="str">
            <v xml:space="preserve">CSG  6,8 % sur Heures supplémentaires Déductible </v>
          </cell>
          <cell r="B40"/>
          <cell r="C40">
            <v>6.8000000000000005E-2</v>
          </cell>
          <cell r="D40"/>
        </row>
        <row r="41">
          <cell r="A41" t="str">
            <v>CSG / CRDS 2,9 %  (Non déductible) sur Heures Supplémentaires</v>
          </cell>
          <cell r="B41"/>
          <cell r="C41">
            <v>2.9000000000000001E-2</v>
          </cell>
          <cell r="D41"/>
        </row>
        <row r="42">
          <cell r="A42"/>
          <cell r="B42"/>
          <cell r="C42"/>
          <cell r="D42"/>
        </row>
        <row r="43">
          <cell r="A43" t="str">
            <v xml:space="preserve">Cotisations et Contributions Facultatives </v>
          </cell>
          <cell r="B43"/>
          <cell r="C43"/>
          <cell r="D43"/>
        </row>
        <row r="44">
          <cell r="A44" t="str">
            <v xml:space="preserve">Prévoyance Complémentaire Cadres </v>
          </cell>
          <cell r="B44"/>
          <cell r="C44"/>
          <cell r="D44"/>
        </row>
        <row r="45">
          <cell r="A45" t="str">
            <v xml:space="preserve">Prévoyance Complémentaire Non Cadres </v>
          </cell>
          <cell r="B45"/>
          <cell r="C45"/>
          <cell r="D45"/>
        </row>
        <row r="46">
          <cell r="A46" t="str">
            <v>Assurance décés des cadres  (TA)</v>
          </cell>
          <cell r="B46"/>
          <cell r="C46"/>
          <cell r="D46">
            <v>1.4999999999999999E-2</v>
          </cell>
        </row>
        <row r="47">
          <cell r="A47" t="str">
            <v>Maintien de salaire TA</v>
          </cell>
          <cell r="B47"/>
          <cell r="C47"/>
          <cell r="D47"/>
        </row>
        <row r="48">
          <cell r="A48" t="str">
            <v xml:space="preserve">Maintien de salaire TB </v>
          </cell>
          <cell r="B48"/>
          <cell r="C48"/>
          <cell r="D48"/>
        </row>
        <row r="49">
          <cell r="A49"/>
          <cell r="B49"/>
          <cell r="C49"/>
          <cell r="D49"/>
        </row>
        <row r="50">
          <cell r="A50" t="str">
            <v>Plafond de la sécurité sociale 2025</v>
          </cell>
          <cell r="B50"/>
          <cell r="C50">
            <v>3925</v>
          </cell>
          <cell r="D50"/>
        </row>
        <row r="51">
          <cell r="A51" t="str">
            <v>SMICH 01/01/2024</v>
          </cell>
          <cell r="B51"/>
          <cell r="C51">
            <v>11.65</v>
          </cell>
          <cell r="D51"/>
        </row>
        <row r="52">
          <cell r="A52" t="str">
            <v xml:space="preserve">SMICH 01/11/2024 </v>
          </cell>
          <cell r="B52"/>
          <cell r="C52">
            <v>11.88</v>
          </cell>
          <cell r="D52"/>
        </row>
        <row r="53">
          <cell r="A53" t="str">
            <v>SMICH au 01/01/2025</v>
          </cell>
          <cell r="B53"/>
          <cell r="C53">
            <v>11.88</v>
          </cell>
          <cell r="D53"/>
        </row>
        <row r="54">
          <cell r="A54" t="str">
            <v xml:space="preserve">SMIC Mensuel  </v>
          </cell>
          <cell r="B54"/>
          <cell r="C54"/>
          <cell r="D54"/>
        </row>
        <row r="55">
          <cell r="A55" t="str">
            <v xml:space="preserve">SMIC Mensuel  </v>
          </cell>
          <cell r="B55"/>
          <cell r="C55"/>
          <cell r="D55"/>
        </row>
        <row r="56">
          <cell r="A56" t="str">
            <v>SMIC Mensuel  au 01/01/2025</v>
          </cell>
          <cell r="B56"/>
          <cell r="C56">
            <v>1801.8000000000002</v>
          </cell>
          <cell r="D56"/>
        </row>
        <row r="57">
          <cell r="A57" t="str">
            <v>1,6 *SMICH  * 35 * 52 /12 au 01/01/2025</v>
          </cell>
          <cell r="B57"/>
          <cell r="C57">
            <v>2882.8800000000006</v>
          </cell>
          <cell r="D57"/>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A4C4C-F5B1-41AB-B4FC-02BC658B1FC1}">
  <dimension ref="B2:E25"/>
  <sheetViews>
    <sheetView topLeftCell="A7" workbookViewId="0">
      <selection activeCell="E12" sqref="E12"/>
    </sheetView>
  </sheetViews>
  <sheetFormatPr baseColWidth="10" defaultRowHeight="15.6" x14ac:dyDescent="0.3"/>
  <cols>
    <col min="1" max="1" width="11.5546875" style="7" customWidth="1"/>
    <col min="2" max="2" width="16.77734375" style="7" customWidth="1"/>
    <col min="3" max="16384" width="11.5546875" style="7"/>
  </cols>
  <sheetData>
    <row r="2" spans="2:5" x14ac:dyDescent="0.3">
      <c r="B2" s="7" t="s">
        <v>502</v>
      </c>
    </row>
    <row r="5" spans="2:5" x14ac:dyDescent="0.3">
      <c r="C5" s="7" t="s">
        <v>503</v>
      </c>
    </row>
    <row r="7" spans="2:5" x14ac:dyDescent="0.3">
      <c r="B7" s="455" t="s">
        <v>505</v>
      </c>
      <c r="C7" s="7" t="s">
        <v>504</v>
      </c>
    </row>
    <row r="8" spans="2:5" x14ac:dyDescent="0.3">
      <c r="B8" s="455"/>
      <c r="C8" s="7" t="s">
        <v>0</v>
      </c>
    </row>
    <row r="9" spans="2:5" x14ac:dyDescent="0.3">
      <c r="B9" s="455"/>
      <c r="C9" s="7" t="s">
        <v>506</v>
      </c>
      <c r="E9" s="7">
        <v>1596</v>
      </c>
    </row>
    <row r="10" spans="2:5" x14ac:dyDescent="0.3">
      <c r="B10" s="455"/>
      <c r="C10" s="7" t="s">
        <v>552</v>
      </c>
    </row>
    <row r="11" spans="2:5" x14ac:dyDescent="0.3">
      <c r="B11" s="455"/>
      <c r="C11" s="7" t="s">
        <v>551</v>
      </c>
    </row>
    <row r="13" spans="2:5" x14ac:dyDescent="0.3">
      <c r="C13" s="386" t="s">
        <v>508</v>
      </c>
    </row>
    <row r="15" spans="2:5" x14ac:dyDescent="0.3">
      <c r="C15" s="7" t="s">
        <v>507</v>
      </c>
    </row>
    <row r="17" spans="2:5" x14ac:dyDescent="0.3">
      <c r="C17" s="7" t="s">
        <v>509</v>
      </c>
    </row>
    <row r="19" spans="2:5" x14ac:dyDescent="0.3">
      <c r="C19" s="7" t="s">
        <v>510</v>
      </c>
    </row>
    <row r="21" spans="2:5" x14ac:dyDescent="0.3">
      <c r="B21" s="454" t="s">
        <v>511</v>
      </c>
      <c r="C21" s="7" t="s">
        <v>511</v>
      </c>
    </row>
    <row r="22" spans="2:5" x14ac:dyDescent="0.3">
      <c r="B22" s="454"/>
      <c r="E22" s="7" t="s">
        <v>515</v>
      </c>
    </row>
    <row r="23" spans="2:5" x14ac:dyDescent="0.3">
      <c r="B23" s="454"/>
      <c r="C23" s="7" t="s">
        <v>512</v>
      </c>
      <c r="E23" s="7" t="s">
        <v>516</v>
      </c>
    </row>
    <row r="24" spans="2:5" x14ac:dyDescent="0.3">
      <c r="B24" s="454"/>
    </row>
    <row r="25" spans="2:5" x14ac:dyDescent="0.3">
      <c r="B25" s="454"/>
      <c r="C25" s="7" t="s">
        <v>513</v>
      </c>
    </row>
  </sheetData>
  <mergeCells count="2">
    <mergeCell ref="B21:B25"/>
    <mergeCell ref="B7:B11"/>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26B4A-2F2D-4F17-BF28-B453F8F81BAF}">
  <dimension ref="A1:M150"/>
  <sheetViews>
    <sheetView topLeftCell="A24" workbookViewId="0">
      <selection activeCell="E33" sqref="E33"/>
    </sheetView>
  </sheetViews>
  <sheetFormatPr baseColWidth="10" defaultColWidth="11.44140625" defaultRowHeight="15.6" x14ac:dyDescent="0.3"/>
  <cols>
    <col min="1" max="1" width="4.88671875" style="4" customWidth="1"/>
    <col min="2" max="2" width="2.44140625" style="4" customWidth="1"/>
    <col min="3" max="3" width="31.5546875" style="4" customWidth="1"/>
    <col min="4" max="4" width="29.5546875" style="4" customWidth="1"/>
    <col min="5" max="5" width="34.33203125" style="4" customWidth="1"/>
    <col min="6" max="6" width="5.109375" style="4" customWidth="1"/>
    <col min="7" max="7" width="33.33203125" style="4" customWidth="1"/>
    <col min="8" max="8" width="18.44140625" style="4" customWidth="1"/>
    <col min="9" max="10" width="11.44140625" style="4" hidden="1" customWidth="1"/>
    <col min="11" max="11" width="19.109375" style="4" hidden="1" customWidth="1"/>
    <col min="12" max="16384" width="11.44140625" style="4"/>
  </cols>
  <sheetData>
    <row r="1" spans="3:12" ht="12.75" customHeight="1" x14ac:dyDescent="0.3"/>
    <row r="2" spans="3:12" x14ac:dyDescent="0.3">
      <c r="C2" s="257"/>
    </row>
    <row r="3" spans="3:12" ht="12.75" customHeight="1" x14ac:dyDescent="0.3"/>
    <row r="4" spans="3:12" ht="31.8" customHeight="1" x14ac:dyDescent="0.3">
      <c r="C4" s="471" t="s">
        <v>236</v>
      </c>
      <c r="D4" s="471"/>
      <c r="E4" s="471"/>
      <c r="F4" s="471"/>
      <c r="G4" s="456" t="s">
        <v>312</v>
      </c>
      <c r="H4" s="456"/>
      <c r="I4" s="184"/>
    </row>
    <row r="5" spans="3:12" ht="31.8" customHeight="1" x14ac:dyDescent="0.3">
      <c r="C5" s="471" t="s">
        <v>237</v>
      </c>
      <c r="D5" s="471"/>
      <c r="E5" s="471"/>
      <c r="F5" s="471"/>
      <c r="G5" s="456" t="s">
        <v>519</v>
      </c>
      <c r="H5" s="456"/>
      <c r="I5" s="184"/>
    </row>
    <row r="6" spans="3:12" ht="31.8" customHeight="1" x14ac:dyDescent="0.3">
      <c r="C6" s="471" t="s">
        <v>238</v>
      </c>
      <c r="D6" s="471"/>
      <c r="E6" s="471"/>
      <c r="F6" s="471"/>
      <c r="G6" s="459">
        <v>34464426500029</v>
      </c>
      <c r="H6" s="459"/>
      <c r="I6" s="459"/>
    </row>
    <row r="7" spans="3:12" ht="31.8" customHeight="1" x14ac:dyDescent="0.3">
      <c r="C7" s="471" t="s">
        <v>239</v>
      </c>
      <c r="D7" s="471"/>
      <c r="E7" s="471"/>
      <c r="F7" s="471"/>
      <c r="G7" s="460" t="s">
        <v>533</v>
      </c>
      <c r="H7" s="460"/>
      <c r="I7" s="460"/>
    </row>
    <row r="8" spans="3:12" ht="52.2" customHeight="1" x14ac:dyDescent="0.3">
      <c r="C8" s="471" t="s">
        <v>240</v>
      </c>
      <c r="D8" s="471"/>
      <c r="E8" s="471"/>
      <c r="F8" s="471"/>
      <c r="G8" s="457" t="s">
        <v>530</v>
      </c>
      <c r="H8" s="457"/>
      <c r="I8" s="457"/>
    </row>
    <row r="9" spans="3:12" ht="31.8" customHeight="1" x14ac:dyDescent="0.3">
      <c r="C9" s="472" t="s">
        <v>241</v>
      </c>
      <c r="D9" s="473"/>
      <c r="E9" s="473"/>
      <c r="F9" s="474"/>
      <c r="G9" s="458">
        <f>' ENONCE ET CORRIGE '!C5</f>
        <v>9</v>
      </c>
      <c r="H9" s="458"/>
      <c r="I9" s="116"/>
    </row>
    <row r="10" spans="3:12" ht="24" customHeight="1" x14ac:dyDescent="0.3">
      <c r="C10" s="461"/>
      <c r="D10" s="461"/>
      <c r="E10" s="461"/>
      <c r="F10" s="461"/>
      <c r="G10" s="462"/>
      <c r="H10" s="462"/>
    </row>
    <row r="11" spans="3:12" ht="28.5" customHeight="1" x14ac:dyDescent="0.3">
      <c r="C11" s="258"/>
      <c r="D11" s="259"/>
      <c r="E11" s="463" t="s">
        <v>217</v>
      </c>
      <c r="F11" s="463"/>
      <c r="G11" s="228" t="s">
        <v>27</v>
      </c>
      <c r="H11" s="228" t="s">
        <v>26</v>
      </c>
    </row>
    <row r="12" spans="3:12" ht="20.25" customHeight="1" x14ac:dyDescent="0.3">
      <c r="C12" s="464" t="s">
        <v>242</v>
      </c>
      <c r="D12" s="464"/>
      <c r="E12" s="465">
        <v>100</v>
      </c>
      <c r="F12" s="466"/>
      <c r="G12" s="262">
        <v>0.5</v>
      </c>
      <c r="H12" s="262">
        <v>0.5</v>
      </c>
    </row>
    <row r="13" spans="3:12" ht="20.25" customHeight="1" x14ac:dyDescent="0.3">
      <c r="C13" s="464" t="s">
        <v>243</v>
      </c>
      <c r="D13" s="464"/>
      <c r="E13" s="464"/>
      <c r="F13" s="464"/>
      <c r="G13" s="262">
        <f>+' ENONCE ET CORRIGE '!D39</f>
        <v>8.6999999999999994E-3</v>
      </c>
      <c r="H13" s="262">
        <f>+' ENONCE ET CORRIGE '!E39</f>
        <v>1.72E-2</v>
      </c>
      <c r="L13" s="4" t="s">
        <v>354</v>
      </c>
    </row>
    <row r="14" spans="3:12" ht="20.25" hidden="1" customHeight="1" x14ac:dyDescent="0.3">
      <c r="C14" s="464"/>
      <c r="D14" s="464"/>
      <c r="E14" s="464"/>
      <c r="F14" s="464"/>
      <c r="G14" s="262"/>
      <c r="H14" s="262"/>
    </row>
    <row r="15" spans="3:12" ht="20.25" customHeight="1" x14ac:dyDescent="0.3">
      <c r="C15" s="464" t="s">
        <v>441</v>
      </c>
      <c r="D15" s="464"/>
      <c r="E15" s="464"/>
      <c r="F15" s="464"/>
      <c r="G15" s="263">
        <v>1</v>
      </c>
      <c r="H15" s="264"/>
    </row>
    <row r="16" spans="3:12" ht="19.8" customHeight="1" x14ac:dyDescent="0.3">
      <c r="C16" s="464" t="s">
        <v>315</v>
      </c>
      <c r="D16" s="464"/>
      <c r="E16" s="464"/>
      <c r="F16" s="464"/>
      <c r="G16" s="265">
        <v>0.08</v>
      </c>
      <c r="H16" s="264"/>
    </row>
    <row r="17" spans="3:12" ht="19.8" hidden="1" customHeight="1" x14ac:dyDescent="0.3">
      <c r="C17" s="464"/>
      <c r="D17" s="464"/>
      <c r="E17" s="464"/>
      <c r="F17" s="464"/>
      <c r="G17" s="5"/>
      <c r="H17" s="5"/>
    </row>
    <row r="18" spans="3:12" ht="20.25" hidden="1" customHeight="1" x14ac:dyDescent="0.3">
      <c r="C18" s="464"/>
      <c r="D18" s="464"/>
      <c r="E18" s="464"/>
      <c r="F18" s="464"/>
      <c r="G18" s="5"/>
      <c r="H18" s="5"/>
    </row>
    <row r="19" spans="3:12" ht="20.25" hidden="1" customHeight="1" x14ac:dyDescent="0.3">
      <c r="C19" s="464"/>
      <c r="D19" s="464"/>
      <c r="E19" s="464"/>
      <c r="F19" s="464"/>
      <c r="G19" s="266"/>
      <c r="H19" s="266"/>
      <c r="L19" s="267" t="s">
        <v>245</v>
      </c>
    </row>
    <row r="20" spans="3:12" ht="20.25" hidden="1" customHeight="1" x14ac:dyDescent="0.3">
      <c r="C20" s="464"/>
      <c r="D20" s="464"/>
      <c r="E20" s="465"/>
      <c r="F20" s="466"/>
      <c r="G20" s="266"/>
      <c r="H20" s="266">
        <v>1.4999999999999999E-2</v>
      </c>
      <c r="L20" s="267"/>
    </row>
    <row r="21" spans="3:12" ht="20.25" customHeight="1" x14ac:dyDescent="0.3">
      <c r="C21" s="464" t="s">
        <v>246</v>
      </c>
      <c r="D21" s="464"/>
      <c r="E21" s="464" t="s">
        <v>244</v>
      </c>
      <c r="F21" s="464"/>
      <c r="G21" s="266"/>
      <c r="H21" s="262">
        <f>' ENONCE ET CORRIGE '!D34</f>
        <v>4.02E-2</v>
      </c>
    </row>
    <row r="22" spans="3:12" ht="20.25" customHeight="1" x14ac:dyDescent="0.3">
      <c r="C22" s="464" t="s">
        <v>247</v>
      </c>
      <c r="D22" s="464"/>
      <c r="E22" s="464" t="s">
        <v>244</v>
      </c>
      <c r="F22" s="464"/>
      <c r="G22" s="266"/>
      <c r="H22" s="266"/>
    </row>
    <row r="23" spans="3:12" ht="16.5" customHeight="1" x14ac:dyDescent="0.3"/>
    <row r="24" spans="3:12" x14ac:dyDescent="0.3">
      <c r="H24" s="269"/>
      <c r="L24" s="268"/>
    </row>
    <row r="25" spans="3:12" x14ac:dyDescent="0.3">
      <c r="G25" s="269"/>
      <c r="H25" s="269"/>
      <c r="L25" s="268"/>
    </row>
    <row r="26" spans="3:12" ht="21.6" customHeight="1" x14ac:dyDescent="0.3">
      <c r="C26" s="258" t="s">
        <v>248</v>
      </c>
      <c r="D26" s="270"/>
      <c r="E26" s="271" t="s">
        <v>249</v>
      </c>
    </row>
    <row r="27" spans="3:12" ht="21.6" customHeight="1" x14ac:dyDescent="0.3">
      <c r="C27" s="260" t="s">
        <v>250</v>
      </c>
      <c r="D27" s="272"/>
      <c r="E27" s="190" t="s">
        <v>251</v>
      </c>
    </row>
    <row r="28" spans="3:12" ht="33" customHeight="1" x14ac:dyDescent="0.3">
      <c r="C28" s="260" t="s">
        <v>237</v>
      </c>
      <c r="D28" s="272"/>
      <c r="E28" s="190" t="s">
        <v>435</v>
      </c>
    </row>
    <row r="29" spans="3:12" ht="21.6" customHeight="1" x14ac:dyDescent="0.3">
      <c r="C29" s="260" t="s">
        <v>252</v>
      </c>
      <c r="D29" s="272"/>
      <c r="E29" s="190" t="s">
        <v>518</v>
      </c>
    </row>
    <row r="30" spans="3:12" ht="21.6" customHeight="1" x14ac:dyDescent="0.3">
      <c r="C30" s="260" t="s">
        <v>313</v>
      </c>
      <c r="D30" s="272"/>
      <c r="E30" s="190">
        <v>185</v>
      </c>
    </row>
    <row r="31" spans="3:12" ht="21.6" customHeight="1" x14ac:dyDescent="0.3">
      <c r="C31" s="260" t="s">
        <v>184</v>
      </c>
      <c r="D31" s="272"/>
      <c r="E31" s="190">
        <v>2</v>
      </c>
    </row>
    <row r="32" spans="3:12" ht="21.6" customHeight="1" x14ac:dyDescent="0.3">
      <c r="C32" s="260" t="s">
        <v>314</v>
      </c>
      <c r="D32" s="272"/>
      <c r="E32" s="190" t="s">
        <v>560</v>
      </c>
    </row>
    <row r="33" spans="3:5" ht="21.6" customHeight="1" x14ac:dyDescent="0.3">
      <c r="C33" s="260" t="s">
        <v>253</v>
      </c>
      <c r="D33" s="272"/>
      <c r="E33" s="190" t="s">
        <v>481</v>
      </c>
    </row>
    <row r="34" spans="3:5" ht="21.6" hidden="1" customHeight="1" x14ac:dyDescent="0.3">
      <c r="C34" s="260" t="s">
        <v>254</v>
      </c>
      <c r="D34" s="272"/>
      <c r="E34" s="5"/>
    </row>
    <row r="35" spans="3:5" ht="21.6" hidden="1" customHeight="1" x14ac:dyDescent="0.3">
      <c r="C35" s="260" t="s">
        <v>255</v>
      </c>
      <c r="D35" s="272"/>
      <c r="E35" s="5"/>
    </row>
    <row r="36" spans="3:5" ht="21.6" hidden="1" customHeight="1" x14ac:dyDescent="0.3">
      <c r="C36" s="261" t="s">
        <v>256</v>
      </c>
      <c r="D36" s="273"/>
      <c r="E36" s="5"/>
    </row>
    <row r="37" spans="3:5" ht="21.6" hidden="1" customHeight="1" x14ac:dyDescent="0.3">
      <c r="C37" s="260"/>
      <c r="E37" s="5"/>
    </row>
    <row r="38" spans="3:5" ht="21.6" hidden="1" customHeight="1" x14ac:dyDescent="0.3">
      <c r="C38" s="261" t="s">
        <v>431</v>
      </c>
      <c r="D38" s="351"/>
      <c r="E38" s="190"/>
    </row>
    <row r="55" spans="3:6" ht="24" customHeight="1" x14ac:dyDescent="0.3">
      <c r="C55" s="469" t="s">
        <v>257</v>
      </c>
      <c r="D55" s="470"/>
      <c r="E55" s="271" t="str">
        <f>+E26</f>
        <v xml:space="preserve">MARTINO </v>
      </c>
    </row>
    <row r="56" spans="3:6" ht="24" customHeight="1" x14ac:dyDescent="0.3">
      <c r="C56" s="464" t="s">
        <v>258</v>
      </c>
      <c r="D56" s="464"/>
      <c r="E56" s="398">
        <v>45658</v>
      </c>
      <c r="F56" s="191"/>
    </row>
    <row r="57" spans="3:6" ht="24" customHeight="1" x14ac:dyDescent="0.3">
      <c r="C57" s="464" t="s">
        <v>259</v>
      </c>
      <c r="D57" s="464"/>
      <c r="E57" s="398">
        <v>45688</v>
      </c>
      <c r="F57" s="191"/>
    </row>
    <row r="58" spans="3:6" ht="24" customHeight="1" x14ac:dyDescent="0.3">
      <c r="C58" s="464" t="s">
        <v>260</v>
      </c>
      <c r="D58" s="464"/>
      <c r="E58" s="398">
        <v>45688</v>
      </c>
      <c r="F58" s="191"/>
    </row>
    <row r="59" spans="3:6" ht="24" customHeight="1" x14ac:dyDescent="0.3">
      <c r="C59" s="464" t="s">
        <v>5</v>
      </c>
      <c r="D59" s="464"/>
      <c r="E59" s="399">
        <f>+' ENONCE ET CORRIGE '!C66</f>
        <v>1876</v>
      </c>
      <c r="F59" s="149"/>
    </row>
    <row r="60" spans="3:6" ht="24" customHeight="1" x14ac:dyDescent="0.3">
      <c r="C60" s="464" t="s">
        <v>261</v>
      </c>
      <c r="D60" s="464"/>
      <c r="E60" s="194">
        <f>+' ENONCE ET CORRIGE '!C62</f>
        <v>151.66999999999999</v>
      </c>
      <c r="F60" s="149"/>
    </row>
    <row r="61" spans="3:6" ht="24" customHeight="1" x14ac:dyDescent="0.3">
      <c r="C61" s="464" t="s">
        <v>36</v>
      </c>
      <c r="D61" s="464"/>
      <c r="E61" s="194">
        <v>11.88</v>
      </c>
      <c r="F61" s="149"/>
    </row>
    <row r="62" spans="3:6" ht="24" customHeight="1" x14ac:dyDescent="0.3">
      <c r="C62" s="464" t="s">
        <v>262</v>
      </c>
      <c r="D62" s="464"/>
      <c r="E62" s="194">
        <f>' ENONCE ET CORRIGE '!C114</f>
        <v>3925.0000000000005</v>
      </c>
      <c r="F62" s="149"/>
    </row>
    <row r="63" spans="3:6" ht="19.5" customHeight="1" x14ac:dyDescent="0.3">
      <c r="C63" s="464" t="s">
        <v>316</v>
      </c>
      <c r="D63" s="464"/>
      <c r="E63" s="194"/>
      <c r="F63" s="149"/>
    </row>
    <row r="64" spans="3:6" ht="19.5" customHeight="1" x14ac:dyDescent="0.3">
      <c r="C64" s="464" t="s">
        <v>317</v>
      </c>
      <c r="D64" s="464"/>
      <c r="E64" s="195"/>
      <c r="F64" s="149"/>
    </row>
    <row r="65" spans="2:6" ht="19.5" customHeight="1" x14ac:dyDescent="0.3">
      <c r="C65" s="464" t="s">
        <v>318</v>
      </c>
      <c r="D65" s="464"/>
      <c r="E65" s="195"/>
      <c r="F65" s="149"/>
    </row>
    <row r="66" spans="2:6" ht="19.5" customHeight="1" x14ac:dyDescent="0.3">
      <c r="C66" s="464" t="s">
        <v>51</v>
      </c>
      <c r="D66" s="464"/>
      <c r="E66" s="194">
        <v>10</v>
      </c>
      <c r="F66" s="149"/>
    </row>
    <row r="67" spans="2:6" ht="19.5" customHeight="1" x14ac:dyDescent="0.3">
      <c r="C67" s="464" t="s">
        <v>319</v>
      </c>
      <c r="D67" s="464"/>
      <c r="E67" s="194"/>
      <c r="F67" s="149"/>
    </row>
    <row r="68" spans="2:6" ht="19.5" customHeight="1" x14ac:dyDescent="0.3">
      <c r="C68" s="464" t="s">
        <v>320</v>
      </c>
      <c r="D68" s="464"/>
      <c r="E68" s="194">
        <f>SUM(E63:E67)</f>
        <v>10</v>
      </c>
      <c r="F68" s="149"/>
    </row>
    <row r="69" spans="2:6" ht="19.5" customHeight="1" x14ac:dyDescent="0.3">
      <c r="C69" s="464" t="s">
        <v>162</v>
      </c>
      <c r="D69" s="464"/>
      <c r="E69" s="194">
        <f>E60+E66+E67</f>
        <v>161.66999999999999</v>
      </c>
      <c r="F69" s="149"/>
    </row>
    <row r="70" spans="2:6" ht="19.5" customHeight="1" x14ac:dyDescent="0.3">
      <c r="C70" s="464" t="s">
        <v>263</v>
      </c>
      <c r="D70" s="464"/>
      <c r="E70" s="195"/>
      <c r="F70" s="149"/>
    </row>
    <row r="71" spans="2:6" ht="19.5" customHeight="1" x14ac:dyDescent="0.3">
      <c r="C71" s="464" t="s">
        <v>264</v>
      </c>
      <c r="D71" s="464"/>
      <c r="E71" s="195"/>
      <c r="F71" s="274"/>
    </row>
    <row r="72" spans="2:6" ht="19.5" customHeight="1" x14ac:dyDescent="0.3">
      <c r="C72" s="464" t="s">
        <v>265</v>
      </c>
      <c r="D72" s="464"/>
      <c r="E72" s="195"/>
      <c r="F72" s="274"/>
    </row>
    <row r="73" spans="2:6" ht="19.2" customHeight="1" x14ac:dyDescent="0.3">
      <c r="C73" s="464" t="s">
        <v>266</v>
      </c>
      <c r="D73" s="464"/>
      <c r="E73" s="195"/>
      <c r="F73" s="274"/>
    </row>
    <row r="74" spans="2:6" ht="19.2" hidden="1" customHeight="1" x14ac:dyDescent="0.3">
      <c r="C74" s="464"/>
      <c r="D74" s="464"/>
      <c r="E74" s="195"/>
      <c r="F74" s="274"/>
    </row>
    <row r="75" spans="2:6" ht="19.5" hidden="1" customHeight="1" x14ac:dyDescent="0.3">
      <c r="B75" s="257" t="s">
        <v>267</v>
      </c>
      <c r="C75" s="5"/>
      <c r="D75" s="5"/>
      <c r="E75" s="192">
        <v>211</v>
      </c>
    </row>
    <row r="76" spans="2:6" ht="24" hidden="1" customHeight="1" x14ac:dyDescent="0.3">
      <c r="C76" s="5"/>
      <c r="D76" s="5"/>
      <c r="E76" s="5"/>
    </row>
    <row r="77" spans="2:6" ht="24" hidden="1" customHeight="1" x14ac:dyDescent="0.3">
      <c r="C77" s="5" t="s">
        <v>268</v>
      </c>
      <c r="D77" s="5"/>
      <c r="E77" s="5"/>
    </row>
    <row r="78" spans="2:6" ht="24" hidden="1" customHeight="1" x14ac:dyDescent="0.3">
      <c r="C78" s="5"/>
      <c r="D78" s="5"/>
      <c r="E78" s="5"/>
    </row>
    <row r="79" spans="2:6" ht="24" hidden="1" customHeight="1" x14ac:dyDescent="0.3">
      <c r="C79" s="5"/>
      <c r="D79" s="5" t="s">
        <v>269</v>
      </c>
      <c r="E79" s="5"/>
    </row>
    <row r="80" spans="2:6" ht="24" hidden="1" customHeight="1" x14ac:dyDescent="0.3">
      <c r="C80" s="5"/>
      <c r="D80" s="5"/>
      <c r="E80" s="5"/>
    </row>
    <row r="81" spans="3:5" ht="24" hidden="1" customHeight="1" x14ac:dyDescent="0.3">
      <c r="C81" s="5"/>
      <c r="D81" s="5" t="s">
        <v>270</v>
      </c>
      <c r="E81" s="5"/>
    </row>
    <row r="82" spans="3:5" ht="24" hidden="1" customHeight="1" x14ac:dyDescent="0.3">
      <c r="C82" s="5"/>
      <c r="D82" s="5"/>
      <c r="E82" s="5"/>
    </row>
    <row r="83" spans="3:5" ht="24" hidden="1" customHeight="1" x14ac:dyDescent="0.3">
      <c r="C83" s="5" t="s">
        <v>271</v>
      </c>
      <c r="D83" s="5"/>
      <c r="E83" s="5"/>
    </row>
    <row r="84" spans="3:5" ht="24" hidden="1" customHeight="1" x14ac:dyDescent="0.3">
      <c r="C84" s="5"/>
      <c r="D84" s="5"/>
      <c r="E84" s="5"/>
    </row>
    <row r="85" spans="3:5" ht="24" hidden="1" customHeight="1" x14ac:dyDescent="0.3">
      <c r="C85" s="5"/>
      <c r="D85" s="5" t="s">
        <v>272</v>
      </c>
      <c r="E85" s="5"/>
    </row>
    <row r="86" spans="3:5" ht="24" hidden="1" customHeight="1" x14ac:dyDescent="0.3">
      <c r="C86" s="5"/>
      <c r="D86" s="5" t="s">
        <v>273</v>
      </c>
      <c r="E86" s="5"/>
    </row>
    <row r="87" spans="3:5" ht="24" hidden="1" customHeight="1" x14ac:dyDescent="0.3">
      <c r="C87" s="5"/>
      <c r="D87" s="5" t="s">
        <v>274</v>
      </c>
      <c r="E87" s="5"/>
    </row>
    <row r="88" spans="3:5" ht="24" hidden="1" customHeight="1" x14ac:dyDescent="0.3">
      <c r="C88" s="5"/>
      <c r="D88" s="5" t="s">
        <v>275</v>
      </c>
      <c r="E88" s="5"/>
    </row>
    <row r="89" spans="3:5" ht="24" hidden="1" customHeight="1" x14ac:dyDescent="0.3">
      <c r="C89" s="5"/>
      <c r="D89" s="5" t="s">
        <v>276</v>
      </c>
      <c r="E89" s="5"/>
    </row>
    <row r="90" spans="3:5" ht="24" hidden="1" customHeight="1" x14ac:dyDescent="0.3">
      <c r="C90" s="5"/>
      <c r="D90" s="5"/>
      <c r="E90" s="5"/>
    </row>
    <row r="91" spans="3:5" ht="24" hidden="1" customHeight="1" x14ac:dyDescent="0.3">
      <c r="C91" s="5" t="s">
        <v>277</v>
      </c>
      <c r="D91" s="5"/>
      <c r="E91" s="5"/>
    </row>
    <row r="92" spans="3:5" ht="24" hidden="1" customHeight="1" x14ac:dyDescent="0.3">
      <c r="C92" s="5" t="s">
        <v>278</v>
      </c>
      <c r="D92" s="5"/>
      <c r="E92" s="5"/>
    </row>
    <row r="93" spans="3:5" ht="24" hidden="1" customHeight="1" x14ac:dyDescent="0.3">
      <c r="C93" s="5"/>
      <c r="D93" s="5"/>
      <c r="E93" s="5"/>
    </row>
    <row r="94" spans="3:5" ht="24" hidden="1" customHeight="1" x14ac:dyDescent="0.3">
      <c r="C94" s="5"/>
      <c r="D94" s="5" t="s">
        <v>279</v>
      </c>
      <c r="E94" s="5"/>
    </row>
    <row r="95" spans="3:5" ht="24" hidden="1" customHeight="1" x14ac:dyDescent="0.3">
      <c r="C95" s="5"/>
      <c r="D95" s="5"/>
      <c r="E95" s="5"/>
    </row>
    <row r="96" spans="3:5" ht="24" hidden="1" customHeight="1" x14ac:dyDescent="0.3">
      <c r="C96" s="5" t="s">
        <v>280</v>
      </c>
      <c r="D96" s="5"/>
      <c r="E96" s="5"/>
    </row>
    <row r="97" spans="1:11" ht="24" hidden="1" customHeight="1" x14ac:dyDescent="0.3">
      <c r="C97" s="5"/>
      <c r="D97" s="5"/>
      <c r="E97" s="5"/>
    </row>
    <row r="98" spans="1:11" ht="24" hidden="1" customHeight="1" x14ac:dyDescent="0.3">
      <c r="C98" s="5"/>
      <c r="D98" s="5"/>
      <c r="E98" s="5" t="s">
        <v>217</v>
      </c>
      <c r="F98" s="198" t="s">
        <v>281</v>
      </c>
      <c r="G98" s="5" t="s">
        <v>9</v>
      </c>
      <c r="H98" s="5" t="s">
        <v>282</v>
      </c>
      <c r="I98" s="5" t="s">
        <v>283</v>
      </c>
    </row>
    <row r="99" spans="1:11" ht="24" hidden="1" customHeight="1" x14ac:dyDescent="0.3">
      <c r="B99" s="197" t="s">
        <v>284</v>
      </c>
      <c r="C99" s="468" t="s">
        <v>118</v>
      </c>
      <c r="D99" s="468"/>
      <c r="E99" s="196"/>
      <c r="F99" s="275">
        <v>6.8000000000000005E-2</v>
      </c>
      <c r="G99" s="196"/>
      <c r="H99" s="196"/>
      <c r="I99" s="196"/>
      <c r="J99" s="276"/>
      <c r="K99" s="276"/>
    </row>
    <row r="100" spans="1:11" ht="24" hidden="1" customHeight="1" x14ac:dyDescent="0.3">
      <c r="B100" s="197" t="s">
        <v>285</v>
      </c>
      <c r="C100" s="468" t="s">
        <v>119</v>
      </c>
      <c r="D100" s="468"/>
      <c r="E100" s="196"/>
      <c r="F100" s="275">
        <v>6.8000000000000005E-2</v>
      </c>
      <c r="G100" s="196"/>
      <c r="H100" s="196"/>
      <c r="I100" s="196"/>
      <c r="J100" s="276"/>
      <c r="K100" s="276"/>
    </row>
    <row r="101" spans="1:11" ht="24" hidden="1" customHeight="1" x14ac:dyDescent="0.3">
      <c r="B101" s="197" t="s">
        <v>286</v>
      </c>
      <c r="C101" s="468" t="s">
        <v>120</v>
      </c>
      <c r="D101" s="468"/>
      <c r="E101" s="196"/>
      <c r="F101" s="275">
        <v>2.9000000000000001E-2</v>
      </c>
      <c r="G101" s="196"/>
      <c r="H101" s="196"/>
      <c r="I101" s="196"/>
      <c r="J101" s="276"/>
      <c r="K101" s="276"/>
    </row>
    <row r="102" spans="1:11" ht="24" hidden="1" customHeight="1" x14ac:dyDescent="0.3">
      <c r="A102" s="467"/>
      <c r="B102" s="467"/>
      <c r="C102" s="5"/>
      <c r="D102" s="5"/>
      <c r="E102" s="196"/>
      <c r="F102" s="277"/>
      <c r="G102" s="196"/>
      <c r="H102" s="196"/>
      <c r="I102" s="278"/>
      <c r="J102" s="276"/>
      <c r="K102" s="276"/>
    </row>
    <row r="103" spans="1:11" ht="24" hidden="1" customHeight="1" x14ac:dyDescent="0.3">
      <c r="B103" s="197" t="s">
        <v>276</v>
      </c>
      <c r="C103" s="468" t="s">
        <v>89</v>
      </c>
      <c r="D103" s="468"/>
      <c r="E103" s="196"/>
      <c r="F103" s="279"/>
      <c r="G103" s="280"/>
      <c r="H103" s="281"/>
      <c r="I103" s="278"/>
      <c r="J103" s="276"/>
      <c r="K103" s="276"/>
    </row>
    <row r="104" spans="1:11" ht="24" hidden="1" customHeight="1" x14ac:dyDescent="0.3">
      <c r="C104" s="193"/>
      <c r="D104" s="193"/>
      <c r="E104" s="196"/>
      <c r="F104" s="282"/>
      <c r="G104" s="283"/>
      <c r="H104" s="284"/>
      <c r="I104" s="276"/>
      <c r="J104" s="276"/>
      <c r="K104" s="276"/>
    </row>
    <row r="105" spans="1:11" ht="24" hidden="1" customHeight="1" x14ac:dyDescent="0.3">
      <c r="C105" s="5" t="s">
        <v>287</v>
      </c>
      <c r="D105" s="5"/>
      <c r="E105" s="5"/>
    </row>
    <row r="106" spans="1:11" ht="24" hidden="1" customHeight="1" x14ac:dyDescent="0.3">
      <c r="C106" s="5"/>
      <c r="D106" s="5"/>
      <c r="E106" s="5"/>
    </row>
    <row r="107" spans="1:11" ht="24" hidden="1" customHeight="1" x14ac:dyDescent="0.3">
      <c r="C107" s="5"/>
      <c r="D107" s="5" t="s">
        <v>288</v>
      </c>
      <c r="E107" s="5"/>
    </row>
    <row r="108" spans="1:11" ht="24" hidden="1" customHeight="1" x14ac:dyDescent="0.3">
      <c r="C108" s="5"/>
      <c r="D108" s="5"/>
      <c r="E108" s="5"/>
    </row>
    <row r="109" spans="1:11" ht="24" hidden="1" customHeight="1" x14ac:dyDescent="0.3">
      <c r="B109" s="4" t="s">
        <v>289</v>
      </c>
      <c r="C109" s="5"/>
      <c r="D109" s="5"/>
      <c r="E109" s="5"/>
    </row>
    <row r="110" spans="1:11" ht="24" hidden="1" customHeight="1" x14ac:dyDescent="0.3">
      <c r="C110" s="5"/>
      <c r="D110" s="5"/>
      <c r="E110" s="5"/>
    </row>
    <row r="111" spans="1:11" ht="24" hidden="1" customHeight="1" x14ac:dyDescent="0.3">
      <c r="C111" s="5" t="s">
        <v>290</v>
      </c>
      <c r="D111" s="5"/>
      <c r="E111" s="5"/>
    </row>
    <row r="112" spans="1:11" ht="24" hidden="1" customHeight="1" x14ac:dyDescent="0.3">
      <c r="C112" s="5"/>
      <c r="D112" s="5"/>
      <c r="E112" s="5"/>
    </row>
    <row r="113" spans="2:5" ht="24" hidden="1" customHeight="1" x14ac:dyDescent="0.3">
      <c r="C113" s="5"/>
      <c r="D113" s="5" t="s">
        <v>291</v>
      </c>
      <c r="E113" s="5"/>
    </row>
    <row r="114" spans="2:5" ht="24" hidden="1" customHeight="1" x14ac:dyDescent="0.3">
      <c r="C114" s="5"/>
      <c r="D114" s="5" t="s">
        <v>269</v>
      </c>
      <c r="E114" s="5"/>
    </row>
    <row r="115" spans="2:5" ht="24" hidden="1" customHeight="1" x14ac:dyDescent="0.3">
      <c r="C115" s="5"/>
      <c r="D115" s="5" t="s">
        <v>292</v>
      </c>
      <c r="E115" s="5"/>
    </row>
    <row r="116" spans="2:5" ht="24" hidden="1" customHeight="1" x14ac:dyDescent="0.3">
      <c r="C116" s="5"/>
      <c r="D116" s="5" t="s">
        <v>293</v>
      </c>
      <c r="E116" s="5"/>
    </row>
    <row r="117" spans="2:5" ht="24" hidden="1" customHeight="1" x14ac:dyDescent="0.3">
      <c r="C117" s="5"/>
      <c r="D117" s="5" t="s">
        <v>294</v>
      </c>
      <c r="E117" s="5"/>
    </row>
    <row r="118" spans="2:5" ht="24" hidden="1" customHeight="1" x14ac:dyDescent="0.3">
      <c r="C118" s="5"/>
      <c r="D118" s="5"/>
      <c r="E118" s="5"/>
    </row>
    <row r="119" spans="2:5" ht="24" hidden="1" customHeight="1" x14ac:dyDescent="0.3">
      <c r="C119" s="5" t="s">
        <v>295</v>
      </c>
      <c r="D119" s="5"/>
      <c r="E119" s="5"/>
    </row>
    <row r="120" spans="2:5" ht="24" hidden="1" customHeight="1" x14ac:dyDescent="0.3">
      <c r="C120" s="5"/>
      <c r="D120" s="5"/>
      <c r="E120" s="5"/>
    </row>
    <row r="121" spans="2:5" ht="24" hidden="1" customHeight="1" x14ac:dyDescent="0.3">
      <c r="B121" s="257" t="s">
        <v>296</v>
      </c>
      <c r="C121" s="199"/>
      <c r="D121" s="5"/>
      <c r="E121" s="5"/>
    </row>
    <row r="122" spans="2:5" ht="24" hidden="1" customHeight="1" x14ac:dyDescent="0.3">
      <c r="C122" s="5"/>
      <c r="D122" s="5"/>
      <c r="E122" s="5"/>
    </row>
    <row r="123" spans="2:5" ht="24" hidden="1" customHeight="1" x14ac:dyDescent="0.3">
      <c r="C123" s="200" t="s">
        <v>297</v>
      </c>
      <c r="D123" s="5"/>
      <c r="E123" s="5"/>
    </row>
    <row r="124" spans="2:5" ht="24" hidden="1" customHeight="1" x14ac:dyDescent="0.3">
      <c r="C124" s="5"/>
      <c r="D124" s="5"/>
      <c r="E124" s="5"/>
    </row>
    <row r="125" spans="2:5" ht="24" hidden="1" customHeight="1" x14ac:dyDescent="0.3">
      <c r="C125" s="5" t="s">
        <v>298</v>
      </c>
      <c r="D125" s="5"/>
      <c r="E125" s="5"/>
    </row>
    <row r="126" spans="2:5" ht="24" hidden="1" customHeight="1" x14ac:dyDescent="0.3">
      <c r="C126" s="5" t="s">
        <v>299</v>
      </c>
      <c r="D126" s="5"/>
      <c r="E126" s="5"/>
    </row>
    <row r="127" spans="2:5" ht="24" hidden="1" customHeight="1" x14ac:dyDescent="0.3">
      <c r="C127" s="5" t="s">
        <v>300</v>
      </c>
      <c r="D127" s="5"/>
      <c r="E127" s="5"/>
    </row>
    <row r="128" spans="2:5" ht="24" hidden="1" customHeight="1" x14ac:dyDescent="0.3">
      <c r="C128" s="5" t="s">
        <v>301</v>
      </c>
      <c r="D128" s="5"/>
      <c r="E128" s="5"/>
    </row>
    <row r="129" spans="2:6" ht="24" hidden="1" customHeight="1" x14ac:dyDescent="0.3">
      <c r="C129" s="5" t="s">
        <v>302</v>
      </c>
      <c r="D129" s="5"/>
      <c r="E129" s="5"/>
    </row>
    <row r="130" spans="2:6" ht="24" hidden="1" customHeight="1" x14ac:dyDescent="0.3">
      <c r="C130" s="5"/>
      <c r="D130" s="5"/>
      <c r="E130" s="5"/>
    </row>
    <row r="131" spans="2:6" ht="24" hidden="1" customHeight="1" x14ac:dyDescent="0.3">
      <c r="C131" s="5"/>
      <c r="D131" s="5"/>
      <c r="E131" s="5"/>
    </row>
    <row r="132" spans="2:6" ht="24" hidden="1" customHeight="1" x14ac:dyDescent="0.3">
      <c r="B132" s="257" t="s">
        <v>303</v>
      </c>
      <c r="C132" s="5"/>
      <c r="D132" s="5"/>
      <c r="E132" s="5"/>
    </row>
    <row r="133" spans="2:6" ht="24" hidden="1" customHeight="1" x14ac:dyDescent="0.3">
      <c r="C133" s="5"/>
      <c r="D133" s="5"/>
      <c r="E133" s="5"/>
    </row>
    <row r="134" spans="2:6" ht="24" hidden="1" customHeight="1" x14ac:dyDescent="0.3">
      <c r="C134" s="5" t="s">
        <v>304</v>
      </c>
      <c r="D134" s="5"/>
      <c r="E134" s="5"/>
    </row>
    <row r="135" spans="2:6" ht="24" hidden="1" customHeight="1" x14ac:dyDescent="0.3">
      <c r="C135" s="5"/>
      <c r="D135" s="5" t="s">
        <v>305</v>
      </c>
      <c r="E135" s="5">
        <v>2332</v>
      </c>
    </row>
    <row r="136" spans="2:6" ht="24" hidden="1" customHeight="1" x14ac:dyDescent="0.3">
      <c r="C136" s="5"/>
      <c r="D136" s="5" t="s">
        <v>306</v>
      </c>
      <c r="E136" s="5">
        <v>3062</v>
      </c>
    </row>
    <row r="137" spans="2:6" ht="24" hidden="1" customHeight="1" x14ac:dyDescent="0.3">
      <c r="C137" s="5"/>
      <c r="D137" s="5"/>
      <c r="E137" s="5"/>
    </row>
    <row r="138" spans="2:6" ht="24" hidden="1" customHeight="1" x14ac:dyDescent="0.3">
      <c r="C138" s="5" t="s">
        <v>307</v>
      </c>
      <c r="D138" s="5">
        <v>8.3000000000000007</v>
      </c>
      <c r="E138" s="5"/>
    </row>
    <row r="139" spans="2:6" ht="24" hidden="1" customHeight="1" x14ac:dyDescent="0.3">
      <c r="C139" s="5"/>
      <c r="D139" s="5" t="s">
        <v>308</v>
      </c>
      <c r="E139" s="5"/>
    </row>
    <row r="140" spans="2:6" ht="24" hidden="1" customHeight="1" x14ac:dyDescent="0.3">
      <c r="C140" s="5"/>
      <c r="D140" s="5" t="s">
        <v>309</v>
      </c>
      <c r="E140" s="5" t="e">
        <f>#REF!</f>
        <v>#REF!</v>
      </c>
      <c r="F140" s="4" t="e">
        <f>E140*D138</f>
        <v>#REF!</v>
      </c>
    </row>
    <row r="141" spans="2:6" ht="24" hidden="1" customHeight="1" x14ac:dyDescent="0.3">
      <c r="C141" s="5"/>
      <c r="D141" s="5" t="s">
        <v>310</v>
      </c>
      <c r="E141" s="5" t="e">
        <f>#REF!</f>
        <v>#REF!</v>
      </c>
      <c r="F141" s="4" t="e">
        <f>D138*E141</f>
        <v>#REF!</v>
      </c>
    </row>
    <row r="142" spans="2:6" ht="24" hidden="1" customHeight="1" x14ac:dyDescent="0.3">
      <c r="C142" s="5"/>
      <c r="D142" s="5"/>
      <c r="E142" s="5"/>
    </row>
    <row r="143" spans="2:6" ht="24" hidden="1" customHeight="1" x14ac:dyDescent="0.3">
      <c r="C143" s="5"/>
      <c r="D143" s="5"/>
      <c r="E143" s="5" t="s">
        <v>311</v>
      </c>
    </row>
    <row r="144" spans="2:6" ht="24" hidden="1" customHeight="1" x14ac:dyDescent="0.3">
      <c r="C144" s="5"/>
      <c r="D144" s="5"/>
      <c r="E144" s="5"/>
    </row>
    <row r="145" spans="3:13" ht="15.75" hidden="1" customHeight="1" x14ac:dyDescent="0.3">
      <c r="C145" s="5"/>
      <c r="D145" s="5"/>
      <c r="E145" s="5"/>
    </row>
    <row r="146" spans="3:13" ht="30.6" hidden="1" customHeight="1" x14ac:dyDescent="0.3">
      <c r="C146" s="464" t="s">
        <v>60</v>
      </c>
      <c r="D146" s="464"/>
      <c r="E146" s="190"/>
      <c r="G146" s="5"/>
      <c r="H146" s="5"/>
    </row>
    <row r="147" spans="3:13" ht="30.6" hidden="1" customHeight="1" x14ac:dyDescent="0.3">
      <c r="C147" s="464" t="s">
        <v>166</v>
      </c>
      <c r="D147" s="464"/>
      <c r="E147" s="5">
        <f t="shared" ref="E147:E148" si="0">G147*H147</f>
        <v>0</v>
      </c>
      <c r="L147" s="476" t="s">
        <v>61</v>
      </c>
      <c r="M147" s="476"/>
    </row>
    <row r="148" spans="3:13" ht="30.6" hidden="1" customHeight="1" x14ac:dyDescent="0.3">
      <c r="C148" s="464" t="s">
        <v>167</v>
      </c>
      <c r="D148" s="464"/>
      <c r="E148" s="5">
        <f t="shared" si="0"/>
        <v>0</v>
      </c>
      <c r="L148" s="475" t="s">
        <v>62</v>
      </c>
      <c r="M148" s="475"/>
    </row>
    <row r="149" spans="3:13" ht="30.6" hidden="1" customHeight="1" x14ac:dyDescent="0.3">
      <c r="C149" s="464" t="s">
        <v>63</v>
      </c>
      <c r="D149" s="464"/>
      <c r="E149" s="190"/>
      <c r="G149" s="464" t="s">
        <v>226</v>
      </c>
      <c r="H149" s="464"/>
      <c r="I149" s="464"/>
      <c r="J149" s="464"/>
      <c r="K149" s="464"/>
      <c r="L149" s="464"/>
      <c r="M149" s="464"/>
    </row>
    <row r="150" spans="3:13" hidden="1" x14ac:dyDescent="0.3">
      <c r="C150" s="464"/>
      <c r="D150" s="464"/>
      <c r="E150" s="335"/>
    </row>
  </sheetData>
  <mergeCells count="69">
    <mergeCell ref="C150:D150"/>
    <mergeCell ref="G149:M149"/>
    <mergeCell ref="C4:F4"/>
    <mergeCell ref="C5:F5"/>
    <mergeCell ref="C6:F6"/>
    <mergeCell ref="C7:F7"/>
    <mergeCell ref="C8:F8"/>
    <mergeCell ref="C9:F9"/>
    <mergeCell ref="C59:D59"/>
    <mergeCell ref="C60:D60"/>
    <mergeCell ref="L148:M148"/>
    <mergeCell ref="L147:M147"/>
    <mergeCell ref="C74:D74"/>
    <mergeCell ref="C73:D73"/>
    <mergeCell ref="C72:D72"/>
    <mergeCell ref="C146:D146"/>
    <mergeCell ref="C147:D147"/>
    <mergeCell ref="C148:D148"/>
    <mergeCell ref="C149:D149"/>
    <mergeCell ref="C55:D55"/>
    <mergeCell ref="C99:D99"/>
    <mergeCell ref="C100:D100"/>
    <mergeCell ref="C101:D101"/>
    <mergeCell ref="C63:D63"/>
    <mergeCell ref="C68:D68"/>
    <mergeCell ref="C62:D62"/>
    <mergeCell ref="C61:D61"/>
    <mergeCell ref="C64:D64"/>
    <mergeCell ref="C65:D65"/>
    <mergeCell ref="C66:D66"/>
    <mergeCell ref="C67:D67"/>
    <mergeCell ref="C56:D56"/>
    <mergeCell ref="C57:D57"/>
    <mergeCell ref="C58:D58"/>
    <mergeCell ref="A102:B102"/>
    <mergeCell ref="C103:D103"/>
    <mergeCell ref="C71:D71"/>
    <mergeCell ref="C70:D70"/>
    <mergeCell ref="C69:D69"/>
    <mergeCell ref="C20:D20"/>
    <mergeCell ref="E20:F20"/>
    <mergeCell ref="C21:D21"/>
    <mergeCell ref="E21:F21"/>
    <mergeCell ref="C22:D22"/>
    <mergeCell ref="E22:F22"/>
    <mergeCell ref="C17:D17"/>
    <mergeCell ref="E17:F17"/>
    <mergeCell ref="C18:D18"/>
    <mergeCell ref="E18:F18"/>
    <mergeCell ref="C19:D19"/>
    <mergeCell ref="E19:F19"/>
    <mergeCell ref="C14:D14"/>
    <mergeCell ref="E14:F14"/>
    <mergeCell ref="C15:D15"/>
    <mergeCell ref="E15:F15"/>
    <mergeCell ref="C16:D16"/>
    <mergeCell ref="E16:F16"/>
    <mergeCell ref="C10:H10"/>
    <mergeCell ref="E11:F11"/>
    <mergeCell ref="C12:D12"/>
    <mergeCell ref="E12:F12"/>
    <mergeCell ref="C13:D13"/>
    <mergeCell ref="E13:F13"/>
    <mergeCell ref="G4:H4"/>
    <mergeCell ref="G5:H5"/>
    <mergeCell ref="G8:I8"/>
    <mergeCell ref="G9:H9"/>
    <mergeCell ref="G6:I6"/>
    <mergeCell ref="G7:I7"/>
  </mergeCells>
  <printOptions horizontalCentered="1" verticalCentered="1"/>
  <pageMargins left="0.11811023622047245" right="0.11811023622047245" top="0.15748031496062992" bottom="0.35433070866141736" header="0.31496062992125984" footer="0.31496062992125984"/>
  <pageSetup paperSize="9" scale="75" orientation="landscape" horizontalDpi="4294967293"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F83E9-BAC5-40CD-B2E6-7EE8701731EF}">
  <dimension ref="A1:H89"/>
  <sheetViews>
    <sheetView tabSelected="1" topLeftCell="A67" workbookViewId="0">
      <selection activeCell="B73" sqref="B73"/>
    </sheetView>
  </sheetViews>
  <sheetFormatPr baseColWidth="10" defaultColWidth="18.77734375" defaultRowHeight="14.4" x14ac:dyDescent="0.3"/>
  <cols>
    <col min="1" max="2" width="18.77734375" style="114"/>
    <col min="3" max="3" width="18.77734375" style="115"/>
    <col min="4" max="4" width="18.77734375" style="113"/>
    <col min="5" max="5" width="18.77734375" style="36"/>
  </cols>
  <sheetData>
    <row r="1" spans="1:5" ht="48" customHeight="1" x14ac:dyDescent="0.3">
      <c r="A1" s="558" t="s">
        <v>64</v>
      </c>
      <c r="B1" s="559"/>
      <c r="C1" s="34" t="s">
        <v>97</v>
      </c>
      <c r="D1" s="35" t="s">
        <v>98</v>
      </c>
    </row>
    <row r="2" spans="1:5" ht="19.5" customHeight="1" x14ac:dyDescent="0.3">
      <c r="A2" s="560" t="s">
        <v>99</v>
      </c>
      <c r="B2" s="561"/>
      <c r="C2" s="34"/>
      <c r="D2" s="35"/>
    </row>
    <row r="3" spans="1:5" s="6" customFormat="1" ht="19.5" customHeight="1" x14ac:dyDescent="0.25">
      <c r="A3" s="562" t="s">
        <v>71</v>
      </c>
      <c r="B3" s="563"/>
      <c r="C3" s="37"/>
      <c r="D3" s="37">
        <v>7.0000000000000007E-2</v>
      </c>
      <c r="E3" s="16"/>
    </row>
    <row r="4" spans="1:5" s="6" customFormat="1" ht="19.5" customHeight="1" x14ac:dyDescent="0.25">
      <c r="A4" s="556" t="s">
        <v>72</v>
      </c>
      <c r="B4" s="557"/>
      <c r="C4" s="37"/>
      <c r="D4" s="37">
        <v>0.06</v>
      </c>
      <c r="E4" s="38"/>
    </row>
    <row r="5" spans="1:5" s="6" customFormat="1" ht="19.5" customHeight="1" x14ac:dyDescent="0.25">
      <c r="A5" s="556" t="s">
        <v>100</v>
      </c>
      <c r="B5" s="557"/>
      <c r="C5" s="39"/>
      <c r="D5" s="39"/>
      <c r="E5" s="555"/>
    </row>
    <row r="6" spans="1:5" s="6" customFormat="1" ht="19.5" customHeight="1" x14ac:dyDescent="0.25">
      <c r="A6" s="556" t="s">
        <v>73</v>
      </c>
      <c r="B6" s="557"/>
      <c r="C6" s="37"/>
      <c r="D6" s="37"/>
      <c r="E6" s="555"/>
    </row>
    <row r="7" spans="1:5" s="6" customFormat="1" ht="19.5" customHeight="1" x14ac:dyDescent="0.25">
      <c r="A7" s="566"/>
      <c r="B7" s="567"/>
      <c r="C7" s="567"/>
      <c r="D7" s="568"/>
      <c r="E7" s="40"/>
    </row>
    <row r="8" spans="1:5" s="6" customFormat="1" ht="19.5" customHeight="1" x14ac:dyDescent="0.25">
      <c r="A8" s="569" t="s">
        <v>74</v>
      </c>
      <c r="B8" s="570"/>
      <c r="C8" s="41"/>
      <c r="D8" s="42"/>
    </row>
    <row r="9" spans="1:5" s="6" customFormat="1" ht="19.5" customHeight="1" x14ac:dyDescent="0.25">
      <c r="A9" s="571" t="s">
        <v>101</v>
      </c>
      <c r="B9" s="572"/>
      <c r="C9" s="43"/>
      <c r="D9" s="43"/>
    </row>
    <row r="10" spans="1:5" s="6" customFormat="1" ht="19.5" customHeight="1" x14ac:dyDescent="0.25">
      <c r="A10" s="573" t="s">
        <v>81</v>
      </c>
      <c r="B10" s="574"/>
      <c r="C10" s="44"/>
      <c r="D10" s="45">
        <v>3.4500000000000003E-2</v>
      </c>
    </row>
    <row r="11" spans="1:5" s="6" customFormat="1" ht="19.5" customHeight="1" x14ac:dyDescent="0.25">
      <c r="A11" s="575" t="s">
        <v>82</v>
      </c>
      <c r="B11" s="557"/>
      <c r="C11" s="44"/>
      <c r="D11" s="46">
        <v>1.7999999999999999E-2</v>
      </c>
    </row>
    <row r="12" spans="1:5" s="6" customFormat="1" ht="19.5" customHeight="1" x14ac:dyDescent="0.25">
      <c r="A12" s="576" t="s">
        <v>102</v>
      </c>
      <c r="B12" s="577"/>
      <c r="C12" s="47"/>
      <c r="D12" s="48"/>
    </row>
    <row r="13" spans="1:5" s="6" customFormat="1" ht="19.5" customHeight="1" x14ac:dyDescent="0.25">
      <c r="A13" s="578" t="s">
        <v>103</v>
      </c>
      <c r="B13" s="579"/>
      <c r="C13" s="49"/>
      <c r="D13" s="49">
        <v>4.0500000000000001E-2</v>
      </c>
    </row>
    <row r="14" spans="1:5" s="6" customFormat="1" ht="19.5" customHeight="1" x14ac:dyDescent="0.25">
      <c r="A14" s="578" t="s">
        <v>104</v>
      </c>
      <c r="B14" s="579"/>
      <c r="C14" s="49"/>
      <c r="D14" s="49">
        <v>2.5000000000000001E-3</v>
      </c>
    </row>
    <row r="15" spans="1:5" s="6" customFormat="1" ht="19.5" customHeight="1" x14ac:dyDescent="0.25">
      <c r="A15" s="580" t="s">
        <v>85</v>
      </c>
      <c r="B15" s="581"/>
      <c r="C15" s="50">
        <v>2.4000000000000001E-4</v>
      </c>
      <c r="D15" s="51">
        <v>3.6000000000000002E-4</v>
      </c>
    </row>
    <row r="16" spans="1:5" s="6" customFormat="1" ht="19.5" customHeight="1" x14ac:dyDescent="0.25">
      <c r="A16" s="582" t="s">
        <v>75</v>
      </c>
      <c r="B16" s="583"/>
      <c r="C16" s="583"/>
      <c r="D16" s="583"/>
    </row>
    <row r="17" spans="1:5" s="6" customFormat="1" ht="19.5" customHeight="1" x14ac:dyDescent="0.25">
      <c r="A17" s="564" t="s">
        <v>76</v>
      </c>
      <c r="B17" s="565"/>
      <c r="C17" s="45">
        <v>6.9000000000000006E-2</v>
      </c>
      <c r="D17" s="45">
        <v>8.5500000000000007E-2</v>
      </c>
    </row>
    <row r="18" spans="1:5" s="6" customFormat="1" ht="19.5" customHeight="1" x14ac:dyDescent="0.25">
      <c r="A18" s="564" t="s">
        <v>77</v>
      </c>
      <c r="B18" s="565"/>
      <c r="C18" s="45">
        <v>4.0000000000000001E-3</v>
      </c>
      <c r="D18" s="52">
        <v>2.0199999999999999E-2</v>
      </c>
    </row>
    <row r="19" spans="1:5" s="6" customFormat="1" ht="19.5" customHeight="1" x14ac:dyDescent="0.25">
      <c r="A19" s="564" t="s">
        <v>78</v>
      </c>
      <c r="B19" s="565"/>
      <c r="C19" s="45">
        <v>3.15E-2</v>
      </c>
      <c r="D19" s="45">
        <v>4.7199999999999999E-2</v>
      </c>
    </row>
    <row r="20" spans="1:5" s="6" customFormat="1" ht="19.5" customHeight="1" x14ac:dyDescent="0.25">
      <c r="A20" s="564" t="s">
        <v>79</v>
      </c>
      <c r="B20" s="565"/>
      <c r="C20" s="45">
        <v>8.6400000000000005E-2</v>
      </c>
      <c r="D20" s="45">
        <v>0.1295</v>
      </c>
    </row>
    <row r="21" spans="1:5" s="6" customFormat="1" ht="19.5" customHeight="1" x14ac:dyDescent="0.25">
      <c r="A21" s="564" t="s">
        <v>105</v>
      </c>
      <c r="B21" s="565"/>
      <c r="C21" s="45">
        <v>8.6E-3</v>
      </c>
      <c r="D21" s="45">
        <v>1.29E-2</v>
      </c>
    </row>
    <row r="22" spans="1:5" s="6" customFormat="1" ht="19.5" customHeight="1" x14ac:dyDescent="0.25">
      <c r="A22" s="564" t="s">
        <v>106</v>
      </c>
      <c r="B22" s="565"/>
      <c r="C22" s="45">
        <v>1.0800000000000001E-2</v>
      </c>
      <c r="D22" s="45">
        <v>1.6199999999999999E-2</v>
      </c>
    </row>
    <row r="23" spans="1:5" s="6" customFormat="1" ht="19.5" customHeight="1" x14ac:dyDescent="0.25">
      <c r="A23" s="564" t="s">
        <v>107</v>
      </c>
      <c r="B23" s="565"/>
      <c r="C23" s="45">
        <v>1.4E-3</v>
      </c>
      <c r="D23" s="45">
        <v>2.0999999999999999E-3</v>
      </c>
    </row>
    <row r="24" spans="1:5" s="6" customFormat="1" ht="19.5" customHeight="1" x14ac:dyDescent="0.25">
      <c r="A24" s="564" t="s">
        <v>108</v>
      </c>
      <c r="B24" s="565"/>
      <c r="C24" s="45">
        <v>1.4E-3</v>
      </c>
      <c r="D24" s="45">
        <v>2.0999999999999999E-3</v>
      </c>
    </row>
    <row r="25" spans="1:5" s="6" customFormat="1" ht="19.5" customHeight="1" x14ac:dyDescent="0.25">
      <c r="A25" s="53"/>
      <c r="B25" s="54"/>
      <c r="C25" s="47"/>
      <c r="D25" s="48"/>
      <c r="E25" s="40"/>
    </row>
    <row r="26" spans="1:5" s="6" customFormat="1" ht="19.5" customHeight="1" x14ac:dyDescent="0.25">
      <c r="A26" s="564" t="s">
        <v>109</v>
      </c>
      <c r="B26" s="565"/>
      <c r="C26" s="44"/>
      <c r="D26" s="45">
        <v>1E-3</v>
      </c>
      <c r="E26" s="40"/>
    </row>
    <row r="27" spans="1:5" s="6" customFormat="1" ht="19.5" customHeight="1" x14ac:dyDescent="0.25">
      <c r="A27" s="584" t="s">
        <v>110</v>
      </c>
      <c r="B27" s="585"/>
      <c r="C27" s="44"/>
      <c r="D27" s="45">
        <v>5.0000000000000001E-3</v>
      </c>
      <c r="E27" s="40"/>
    </row>
    <row r="28" spans="1:5" s="6" customFormat="1" ht="19.5" customHeight="1" x14ac:dyDescent="0.25">
      <c r="A28" s="584" t="s">
        <v>111</v>
      </c>
      <c r="B28" s="585"/>
      <c r="C28" s="44"/>
      <c r="D28" s="45">
        <v>3.2000000000000001E-2</v>
      </c>
      <c r="E28" s="40" t="s">
        <v>112</v>
      </c>
    </row>
    <row r="29" spans="1:5" s="6" customFormat="1" ht="19.5" customHeight="1" x14ac:dyDescent="0.25">
      <c r="A29" s="564" t="s">
        <v>10</v>
      </c>
      <c r="B29" s="565"/>
      <c r="C29" s="44"/>
      <c r="D29" s="45">
        <v>3.0000000000000001E-3</v>
      </c>
      <c r="E29" s="40"/>
    </row>
    <row r="30" spans="1:5" s="6" customFormat="1" ht="19.5" customHeight="1" x14ac:dyDescent="0.25">
      <c r="A30" s="564" t="s">
        <v>113</v>
      </c>
      <c r="B30" s="565"/>
      <c r="C30" s="44"/>
      <c r="D30" s="45">
        <v>0.08</v>
      </c>
      <c r="E30" s="40"/>
    </row>
    <row r="31" spans="1:5" s="6" customFormat="1" ht="19.5" customHeight="1" x14ac:dyDescent="0.25">
      <c r="A31" s="55" t="s">
        <v>12</v>
      </c>
      <c r="B31" s="55"/>
      <c r="C31" s="44"/>
      <c r="D31" s="45">
        <v>0.2</v>
      </c>
      <c r="E31" s="40"/>
    </row>
    <row r="32" spans="1:5" s="6" customFormat="1" ht="15.6" x14ac:dyDescent="0.25">
      <c r="A32" s="564" t="s">
        <v>13</v>
      </c>
      <c r="B32" s="565"/>
      <c r="C32" s="44"/>
      <c r="D32" s="49">
        <v>1.6000000000000001E-4</v>
      </c>
      <c r="E32" s="16"/>
    </row>
    <row r="33" spans="1:5" s="6" customFormat="1" ht="24.75" customHeight="1" x14ac:dyDescent="0.25">
      <c r="A33" s="556" t="s">
        <v>114</v>
      </c>
      <c r="B33" s="565"/>
      <c r="C33" s="56"/>
      <c r="D33" s="12">
        <f>0.68%+1%</f>
        <v>1.6800000000000002E-2</v>
      </c>
      <c r="E33" s="57"/>
    </row>
    <row r="34" spans="1:5" s="6" customFormat="1" ht="24.75" customHeight="1" x14ac:dyDescent="0.25">
      <c r="A34" s="564" t="s">
        <v>115</v>
      </c>
      <c r="B34" s="565"/>
      <c r="C34" s="56"/>
      <c r="D34" s="12">
        <f>0.68%+0.55%</f>
        <v>1.2300000000000002E-2</v>
      </c>
      <c r="E34" s="57"/>
    </row>
    <row r="35" spans="1:5" s="6" customFormat="1" ht="15" customHeight="1" x14ac:dyDescent="0.25">
      <c r="A35" s="564" t="s">
        <v>14</v>
      </c>
      <c r="B35" s="565"/>
      <c r="C35" s="56"/>
      <c r="D35" s="45">
        <v>4.4999999999999997E-3</v>
      </c>
      <c r="E35" s="58"/>
    </row>
    <row r="36" spans="1:5" s="6" customFormat="1" ht="15" customHeight="1" x14ac:dyDescent="0.25">
      <c r="A36" s="587"/>
      <c r="B36" s="588"/>
      <c r="C36" s="47"/>
      <c r="D36" s="48"/>
      <c r="E36" s="58"/>
    </row>
    <row r="37" spans="1:5" s="6" customFormat="1" ht="21" customHeight="1" x14ac:dyDescent="0.25">
      <c r="A37" s="578" t="s">
        <v>116</v>
      </c>
      <c r="B37" s="579"/>
      <c r="C37" s="59">
        <v>6.8000000000000005E-2</v>
      </c>
      <c r="D37" s="60"/>
      <c r="E37" s="61"/>
    </row>
    <row r="38" spans="1:5" s="6" customFormat="1" ht="21" customHeight="1" x14ac:dyDescent="0.25">
      <c r="A38" s="586" t="s">
        <v>117</v>
      </c>
      <c r="B38" s="586"/>
      <c r="C38" s="59">
        <v>2.9000000000000001E-2</v>
      </c>
      <c r="D38" s="60"/>
      <c r="E38" s="16"/>
    </row>
    <row r="39" spans="1:5" s="6" customFormat="1" ht="21" customHeight="1" x14ac:dyDescent="0.25">
      <c r="A39" s="578" t="s">
        <v>118</v>
      </c>
      <c r="B39" s="579"/>
      <c r="C39" s="59">
        <v>6.8000000000000005E-2</v>
      </c>
      <c r="D39" s="60"/>
      <c r="E39" s="16"/>
    </row>
    <row r="40" spans="1:5" s="6" customFormat="1" ht="21" customHeight="1" x14ac:dyDescent="0.25">
      <c r="A40" s="578" t="s">
        <v>119</v>
      </c>
      <c r="B40" s="579"/>
      <c r="C40" s="59">
        <v>6.8000000000000005E-2</v>
      </c>
      <c r="D40" s="60"/>
    </row>
    <row r="41" spans="1:5" s="6" customFormat="1" ht="21" customHeight="1" x14ac:dyDescent="0.25">
      <c r="A41" s="578" t="s">
        <v>120</v>
      </c>
      <c r="B41" s="579"/>
      <c r="C41" s="59">
        <v>2.9000000000000001E-2</v>
      </c>
      <c r="D41" s="60"/>
    </row>
    <row r="42" spans="1:5" s="6" customFormat="1" ht="10.5" customHeight="1" x14ac:dyDescent="0.25">
      <c r="A42" s="589"/>
      <c r="B42" s="590"/>
      <c r="C42" s="590"/>
      <c r="D42" s="591"/>
      <c r="E42" s="62"/>
    </row>
    <row r="43" spans="1:5" s="6" customFormat="1" ht="15" customHeight="1" x14ac:dyDescent="0.25">
      <c r="A43" s="592" t="s">
        <v>121</v>
      </c>
      <c r="B43" s="593"/>
      <c r="C43" s="63"/>
      <c r="D43" s="64"/>
      <c r="E43" s="16"/>
    </row>
    <row r="44" spans="1:5" s="6" customFormat="1" ht="15" customHeight="1" x14ac:dyDescent="0.25">
      <c r="A44" s="581" t="s">
        <v>93</v>
      </c>
      <c r="B44" s="586"/>
      <c r="C44" s="59"/>
      <c r="D44" s="59"/>
      <c r="E44" s="65"/>
    </row>
    <row r="45" spans="1:5" s="6" customFormat="1" ht="15" customHeight="1" x14ac:dyDescent="0.25">
      <c r="A45" s="581" t="s">
        <v>92</v>
      </c>
      <c r="B45" s="586"/>
      <c r="C45" s="59"/>
      <c r="D45" s="59"/>
      <c r="E45" s="65"/>
    </row>
    <row r="46" spans="1:5" s="6" customFormat="1" ht="15" customHeight="1" x14ac:dyDescent="0.25">
      <c r="A46" s="586" t="s">
        <v>122</v>
      </c>
      <c r="B46" s="586"/>
      <c r="C46" s="59"/>
      <c r="D46" s="59">
        <v>1.4999999999999999E-2</v>
      </c>
      <c r="E46" s="65"/>
    </row>
    <row r="47" spans="1:5" s="6" customFormat="1" ht="15" customHeight="1" x14ac:dyDescent="0.25">
      <c r="A47" s="578" t="s">
        <v>123</v>
      </c>
      <c r="B47" s="579"/>
      <c r="C47" s="63"/>
      <c r="D47" s="66"/>
      <c r="E47" s="16"/>
    </row>
    <row r="48" spans="1:5" s="6" customFormat="1" ht="15" customHeight="1" x14ac:dyDescent="0.25">
      <c r="A48" s="578" t="s">
        <v>124</v>
      </c>
      <c r="B48" s="579"/>
      <c r="C48" s="63"/>
      <c r="D48" s="66"/>
      <c r="E48" s="16"/>
    </row>
    <row r="49" spans="1:6" s="6" customFormat="1" ht="8.25" customHeight="1" x14ac:dyDescent="0.25">
      <c r="A49" s="566"/>
      <c r="B49" s="567"/>
      <c r="C49" s="567"/>
      <c r="D49" s="568"/>
      <c r="E49" s="16"/>
    </row>
    <row r="50" spans="1:6" s="6" customFormat="1" ht="15" customHeight="1" x14ac:dyDescent="0.25">
      <c r="A50" s="594" t="s">
        <v>125</v>
      </c>
      <c r="B50" s="595"/>
      <c r="C50" s="69">
        <v>3925</v>
      </c>
      <c r="D50" s="70"/>
      <c r="E50" s="16"/>
    </row>
    <row r="51" spans="1:6" s="6" customFormat="1" ht="13.8" x14ac:dyDescent="0.25">
      <c r="A51" s="594" t="s">
        <v>126</v>
      </c>
      <c r="B51" s="595"/>
      <c r="C51" s="71">
        <v>11.65</v>
      </c>
      <c r="D51" s="28"/>
      <c r="E51" s="16"/>
    </row>
    <row r="52" spans="1:6" s="6" customFormat="1" ht="13.8" x14ac:dyDescent="0.25">
      <c r="A52" s="594" t="s">
        <v>127</v>
      </c>
      <c r="B52" s="595"/>
      <c r="C52" s="71">
        <v>11.88</v>
      </c>
      <c r="D52" s="28"/>
      <c r="E52" s="16"/>
    </row>
    <row r="53" spans="1:6" s="6" customFormat="1" ht="13.8" x14ac:dyDescent="0.25">
      <c r="A53" s="67" t="s">
        <v>128</v>
      </c>
      <c r="B53" s="68"/>
      <c r="C53" s="69">
        <v>11.88</v>
      </c>
      <c r="D53" s="28"/>
      <c r="E53" s="16"/>
    </row>
    <row r="54" spans="1:6" s="6" customFormat="1" ht="13.8" x14ac:dyDescent="0.25">
      <c r="A54" s="594" t="s">
        <v>129</v>
      </c>
      <c r="B54" s="595"/>
      <c r="C54" s="72"/>
      <c r="D54" s="28"/>
      <c r="E54" s="16"/>
    </row>
    <row r="55" spans="1:6" s="6" customFormat="1" ht="13.8" x14ac:dyDescent="0.25">
      <c r="A55" s="594" t="s">
        <v>129</v>
      </c>
      <c r="B55" s="595"/>
      <c r="C55" s="72"/>
      <c r="D55" s="28"/>
      <c r="E55" s="16"/>
    </row>
    <row r="56" spans="1:6" s="6" customFormat="1" ht="13.8" x14ac:dyDescent="0.25">
      <c r="A56" s="67" t="s">
        <v>130</v>
      </c>
      <c r="B56" s="68"/>
      <c r="C56" s="72">
        <f>C53*35*52/12</f>
        <v>1801.8000000000002</v>
      </c>
      <c r="D56" s="28"/>
      <c r="E56" s="16"/>
    </row>
    <row r="57" spans="1:6" s="6" customFormat="1" ht="13.8" x14ac:dyDescent="0.25">
      <c r="A57" s="594" t="s">
        <v>131</v>
      </c>
      <c r="B57" s="595"/>
      <c r="C57" s="71">
        <f>1.6*C53*35*52/12</f>
        <v>2882.8800000000006</v>
      </c>
      <c r="D57" s="28"/>
      <c r="E57" s="16"/>
    </row>
    <row r="58" spans="1:6" s="6" customFormat="1" ht="13.8" x14ac:dyDescent="0.25">
      <c r="A58" s="578" t="s">
        <v>132</v>
      </c>
      <c r="B58" s="579"/>
      <c r="C58" s="73">
        <f>2.25*C53*35*52/12</f>
        <v>4054.0500000000006</v>
      </c>
      <c r="D58" s="37"/>
      <c r="E58" s="16" t="s">
        <v>133</v>
      </c>
      <c r="F58" s="74">
        <f>ROUND(2.25*C53*151.67,2)</f>
        <v>4054.14</v>
      </c>
    </row>
    <row r="59" spans="1:6" s="6" customFormat="1" ht="13.8" x14ac:dyDescent="0.25">
      <c r="A59" s="578" t="s">
        <v>134</v>
      </c>
      <c r="B59" s="579"/>
      <c r="C59" s="73">
        <f>3.3*C53*35*52/12</f>
        <v>5945.94</v>
      </c>
      <c r="D59" s="37"/>
      <c r="E59" s="16"/>
      <c r="F59" s="74">
        <f>ROUND(3.3*C53*151.67,2)</f>
        <v>5946.07</v>
      </c>
    </row>
    <row r="60" spans="1:6" s="6" customFormat="1" ht="31.5" customHeight="1" x14ac:dyDescent="0.25">
      <c r="A60" s="578" t="s">
        <v>135</v>
      </c>
      <c r="B60" s="579"/>
      <c r="C60" s="75">
        <v>0.31940000000000002</v>
      </c>
      <c r="D60" s="76">
        <v>0.32340000000000002</v>
      </c>
    </row>
    <row r="61" spans="1:6" s="6" customFormat="1" ht="46.8" customHeight="1" x14ac:dyDescent="0.25">
      <c r="A61" s="575" t="s">
        <v>136</v>
      </c>
      <c r="B61" s="557"/>
      <c r="C61" s="77">
        <f>IF('[1]BP FORMAT JUILLET 2023'!H10&lt;45778,IF('[1]BP FORMAT JUILLET 2023'!B9&lt;50,0.3194,0.3294),IF('[1]BP FORMAT JUILLET 2023'!B9&lt;50,0.3193,0.3233))</f>
        <v>0.31940000000000002</v>
      </c>
      <c r="D61" s="78"/>
    </row>
    <row r="62" spans="1:6" s="6" customFormat="1" ht="24" customHeight="1" x14ac:dyDescent="0.25">
      <c r="A62" s="575" t="s">
        <v>137</v>
      </c>
      <c r="B62" s="557"/>
      <c r="C62" s="79" t="s">
        <v>138</v>
      </c>
      <c r="D62" s="80">
        <f>IF('[1]MASQUE DE SAISIE '!E39&lt;45778,1.5,0)</f>
        <v>1.5</v>
      </c>
    </row>
    <row r="63" spans="1:6" s="6" customFormat="1" ht="24" customHeight="1" x14ac:dyDescent="0.25">
      <c r="A63" s="575" t="s">
        <v>139</v>
      </c>
      <c r="B63" s="557"/>
      <c r="C63" s="79" t="s">
        <v>138</v>
      </c>
      <c r="D63" s="80">
        <v>0.5</v>
      </c>
    </row>
    <row r="64" spans="1:6" s="6" customFormat="1" ht="24" customHeight="1" x14ac:dyDescent="0.25">
      <c r="A64" s="575" t="s">
        <v>140</v>
      </c>
      <c r="B64" s="557"/>
      <c r="C64" s="81"/>
      <c r="D64" s="82">
        <f>IF('[1]MASQUE DE SAISIE '!E39&lt;45778,IF('[1]MASQUE DE SAISIE '!G9&lt;20,1.5,IF('[1]MASQUE DE SAISIE '!G9&lt;250,0.5,0)),IF('[1]MASQUE DE SAISIE '!G9&lt;20,0,IF('[1]MASQUE DE SAISIE '!G9&lt;250,0.5,0)))</f>
        <v>0.5</v>
      </c>
      <c r="E64" s="83"/>
    </row>
    <row r="65" spans="1:5" s="6" customFormat="1" ht="15" customHeight="1" x14ac:dyDescent="0.25">
      <c r="A65" s="564" t="s">
        <v>141</v>
      </c>
      <c r="B65" s="565"/>
      <c r="C65" s="84">
        <v>88.8</v>
      </c>
      <c r="D65" s="85"/>
      <c r="E65" s="86"/>
    </row>
    <row r="66" spans="1:5" s="6" customFormat="1" ht="35.25" customHeight="1" x14ac:dyDescent="0.25">
      <c r="A66" s="87"/>
      <c r="B66" s="16"/>
      <c r="C66" s="88"/>
      <c r="D66" s="89"/>
      <c r="E66" s="16"/>
    </row>
    <row r="67" spans="1:5" s="6" customFormat="1" ht="18.75" customHeight="1" x14ac:dyDescent="0.25">
      <c r="A67" s="61"/>
      <c r="B67" s="606" t="s">
        <v>142</v>
      </c>
      <c r="C67" s="606"/>
      <c r="D67" s="596" t="s">
        <v>143</v>
      </c>
      <c r="E67" s="596"/>
    </row>
    <row r="68" spans="1:5" s="6" customFormat="1" ht="18.75" customHeight="1" x14ac:dyDescent="0.25">
      <c r="A68" s="61"/>
      <c r="B68" s="91" t="s">
        <v>144</v>
      </c>
      <c r="C68" s="90" t="s">
        <v>26</v>
      </c>
      <c r="D68" s="90" t="s">
        <v>144</v>
      </c>
      <c r="E68" s="90" t="s">
        <v>26</v>
      </c>
    </row>
    <row r="69" spans="1:5" s="6" customFormat="1" ht="18.75" customHeight="1" x14ac:dyDescent="0.25">
      <c r="A69" s="92" t="s">
        <v>78</v>
      </c>
      <c r="B69" s="93">
        <v>3.15E-2</v>
      </c>
      <c r="C69" s="94">
        <v>4.7199999999999999E-2</v>
      </c>
      <c r="D69" s="95">
        <v>3.15E-2</v>
      </c>
      <c r="E69" s="94">
        <v>4.7199999999999999E-2</v>
      </c>
    </row>
    <row r="70" spans="1:5" s="6" customFormat="1" ht="18.75" customHeight="1" x14ac:dyDescent="0.25">
      <c r="A70" s="92" t="s">
        <v>145</v>
      </c>
      <c r="B70" s="93">
        <v>8.6E-3</v>
      </c>
      <c r="C70" s="95">
        <v>1.29E-2</v>
      </c>
      <c r="D70" s="95">
        <v>8.6E-3</v>
      </c>
      <c r="E70" s="95">
        <v>1.29E-2</v>
      </c>
    </row>
    <row r="71" spans="1:5" s="6" customFormat="1" ht="18.75" customHeight="1" x14ac:dyDescent="0.25">
      <c r="A71" s="92" t="s">
        <v>146</v>
      </c>
      <c r="B71" s="96"/>
      <c r="C71" s="97"/>
      <c r="D71" s="95">
        <v>1.4E-3</v>
      </c>
      <c r="E71" s="95">
        <v>2.0999999999999999E-3</v>
      </c>
    </row>
    <row r="72" spans="1:5" s="6" customFormat="1" ht="35.25" customHeight="1" x14ac:dyDescent="0.25">
      <c r="A72" s="98" t="s">
        <v>147</v>
      </c>
      <c r="B72" s="99">
        <f>+B69+B70</f>
        <v>4.0099999999999997E-2</v>
      </c>
      <c r="C72" s="100">
        <f>+C69+C70</f>
        <v>6.0100000000000001E-2</v>
      </c>
      <c r="D72" s="100">
        <f>SUM(D69:D71)</f>
        <v>4.1499999999999995E-2</v>
      </c>
      <c r="E72" s="100">
        <f>SUM(E69:E71)</f>
        <v>6.2199999999999998E-2</v>
      </c>
    </row>
    <row r="73" spans="1:5" s="6" customFormat="1" ht="27" customHeight="1" x14ac:dyDescent="0.25">
      <c r="A73" s="101"/>
      <c r="B73" s="102"/>
      <c r="C73" s="103"/>
      <c r="D73" s="103"/>
      <c r="E73" s="103"/>
    </row>
    <row r="74" spans="1:5" s="6" customFormat="1" ht="18.75" customHeight="1" x14ac:dyDescent="0.25">
      <c r="A74" s="61"/>
      <c r="B74" s="61"/>
      <c r="C74" s="104"/>
      <c r="D74" s="90" t="s">
        <v>27</v>
      </c>
      <c r="E74" s="105" t="s">
        <v>26</v>
      </c>
    </row>
    <row r="75" spans="1:5" s="6" customFormat="1" ht="18.75" customHeight="1" x14ac:dyDescent="0.25">
      <c r="A75" s="92" t="s">
        <v>79</v>
      </c>
      <c r="B75" s="61"/>
      <c r="C75" s="104"/>
      <c r="D75" s="95">
        <v>8.6400000000000005E-2</v>
      </c>
      <c r="E75" s="95">
        <v>0.1295</v>
      </c>
    </row>
    <row r="76" spans="1:5" s="6" customFormat="1" ht="18.75" customHeight="1" x14ac:dyDescent="0.25">
      <c r="A76" s="92" t="s">
        <v>148</v>
      </c>
      <c r="B76" s="61"/>
      <c r="C76" s="104"/>
      <c r="D76" s="95">
        <v>1.0800000000000001E-2</v>
      </c>
      <c r="E76" s="95">
        <v>1.6199999999999999E-2</v>
      </c>
    </row>
    <row r="77" spans="1:5" s="6" customFormat="1" ht="18.75" customHeight="1" x14ac:dyDescent="0.25">
      <c r="A77" s="92" t="s">
        <v>149</v>
      </c>
      <c r="B77" s="61"/>
      <c r="C77" s="104"/>
      <c r="D77" s="95">
        <v>1.4E-3</v>
      </c>
      <c r="E77" s="95">
        <v>2.0999999999999999E-3</v>
      </c>
    </row>
    <row r="78" spans="1:5" s="6" customFormat="1" ht="33" customHeight="1" x14ac:dyDescent="0.25">
      <c r="A78" s="98" t="s">
        <v>150</v>
      </c>
      <c r="B78" s="61"/>
      <c r="C78" s="104"/>
      <c r="D78" s="100">
        <f>SUM(D75:D77)</f>
        <v>9.8600000000000007E-2</v>
      </c>
      <c r="E78" s="100">
        <f>SUM(E75:E77)</f>
        <v>0.14779999999999999</v>
      </c>
    </row>
    <row r="79" spans="1:5" s="6" customFormat="1" ht="35.25" customHeight="1" x14ac:dyDescent="0.3">
      <c r="A79" s="16"/>
      <c r="B79" s="16"/>
      <c r="C79" s="106"/>
      <c r="D79" s="107"/>
      <c r="E79" s="7"/>
    </row>
    <row r="80" spans="1:5" s="6" customFormat="1" ht="35.25" customHeight="1" x14ac:dyDescent="0.25">
      <c r="A80" s="16"/>
      <c r="B80" s="16"/>
      <c r="C80" s="108"/>
      <c r="D80" s="89"/>
      <c r="E80" s="16"/>
    </row>
    <row r="81" spans="1:8" s="6" customFormat="1" ht="35.25" customHeight="1" x14ac:dyDescent="0.25">
      <c r="A81" s="597" t="s">
        <v>151</v>
      </c>
      <c r="B81" s="598"/>
      <c r="C81" s="598"/>
      <c r="D81" s="599"/>
      <c r="E81" s="16"/>
    </row>
    <row r="82" spans="1:8" s="6" customFormat="1" ht="42" customHeight="1" x14ac:dyDescent="0.25">
      <c r="A82" s="600" t="s">
        <v>152</v>
      </c>
      <c r="B82" s="601"/>
      <c r="C82" s="109" t="s">
        <v>153</v>
      </c>
      <c r="D82" s="109" t="s">
        <v>154</v>
      </c>
      <c r="E82" s="16"/>
    </row>
    <row r="83" spans="1:8" s="6" customFormat="1" ht="35.25" customHeight="1" x14ac:dyDescent="0.3">
      <c r="A83" s="602" t="s">
        <v>155</v>
      </c>
      <c r="B83" s="603"/>
      <c r="C83" s="110" t="s">
        <v>156</v>
      </c>
      <c r="D83" s="111">
        <v>3.2000000000000001E-2</v>
      </c>
      <c r="E83" s="16"/>
      <c r="H83"/>
    </row>
    <row r="84" spans="1:8" s="6" customFormat="1" ht="35.25" customHeight="1" x14ac:dyDescent="0.3">
      <c r="A84" s="602" t="s">
        <v>157</v>
      </c>
      <c r="B84" s="603"/>
      <c r="C84" s="110" t="s">
        <v>156</v>
      </c>
      <c r="D84" s="111">
        <v>3.2000000000000001E-2</v>
      </c>
      <c r="E84" s="16"/>
      <c r="H84"/>
    </row>
    <row r="85" spans="1:8" ht="47.25" customHeight="1" x14ac:dyDescent="0.3">
      <c r="A85" s="604" t="s">
        <v>158</v>
      </c>
      <c r="B85" s="604"/>
      <c r="C85" s="110" t="s">
        <v>159</v>
      </c>
      <c r="D85" s="110" t="s">
        <v>159</v>
      </c>
    </row>
    <row r="86" spans="1:8" ht="35.25" customHeight="1" x14ac:dyDescent="0.3">
      <c r="A86" s="605"/>
      <c r="B86" s="605"/>
      <c r="C86" s="112"/>
    </row>
    <row r="87" spans="1:8" ht="35.25" customHeight="1" x14ac:dyDescent="0.3">
      <c r="A87" s="114" t="s">
        <v>160</v>
      </c>
    </row>
    <row r="88" spans="1:8" ht="35.25" customHeight="1" x14ac:dyDescent="0.3">
      <c r="A88" s="16" t="s">
        <v>161</v>
      </c>
    </row>
    <row r="89" spans="1:8" ht="35.25" customHeight="1" x14ac:dyDescent="0.3">
      <c r="B89" s="16"/>
      <c r="C89" s="88"/>
    </row>
  </sheetData>
  <mergeCells count="70">
    <mergeCell ref="A84:B84"/>
    <mergeCell ref="A85:B85"/>
    <mergeCell ref="A86:B86"/>
    <mergeCell ref="A65:B65"/>
    <mergeCell ref="B67:C67"/>
    <mergeCell ref="D67:E67"/>
    <mergeCell ref="A81:D81"/>
    <mergeCell ref="A82:B82"/>
    <mergeCell ref="A83:B83"/>
    <mergeCell ref="A59:B59"/>
    <mergeCell ref="A60:B60"/>
    <mergeCell ref="A61:B61"/>
    <mergeCell ref="A62:B62"/>
    <mergeCell ref="A63:B63"/>
    <mergeCell ref="A64:B64"/>
    <mergeCell ref="A58:B58"/>
    <mergeCell ref="A45:B45"/>
    <mergeCell ref="A46:B46"/>
    <mergeCell ref="A47:B47"/>
    <mergeCell ref="A48:B48"/>
    <mergeCell ref="A49:D49"/>
    <mergeCell ref="A50:B50"/>
    <mergeCell ref="A51:B51"/>
    <mergeCell ref="A52:B52"/>
    <mergeCell ref="A54:B54"/>
    <mergeCell ref="A55:B55"/>
    <mergeCell ref="A57:B57"/>
    <mergeCell ref="A44:B44"/>
    <mergeCell ref="A33:B33"/>
    <mergeCell ref="A34:B34"/>
    <mergeCell ref="A35:B35"/>
    <mergeCell ref="A36:B36"/>
    <mergeCell ref="A37:B37"/>
    <mergeCell ref="A38:B38"/>
    <mergeCell ref="A39:B39"/>
    <mergeCell ref="A40:B40"/>
    <mergeCell ref="A41:B41"/>
    <mergeCell ref="A42:D42"/>
    <mergeCell ref="A43:B43"/>
    <mergeCell ref="A32:B32"/>
    <mergeCell ref="A19:B19"/>
    <mergeCell ref="A20:B20"/>
    <mergeCell ref="A21:B21"/>
    <mergeCell ref="A22:B22"/>
    <mergeCell ref="A23:B23"/>
    <mergeCell ref="A24:B24"/>
    <mergeCell ref="A26:B26"/>
    <mergeCell ref="A27:B27"/>
    <mergeCell ref="A28:B28"/>
    <mergeCell ref="A29:B29"/>
    <mergeCell ref="A30:B30"/>
    <mergeCell ref="A18:B18"/>
    <mergeCell ref="A7:D7"/>
    <mergeCell ref="A8:B8"/>
    <mergeCell ref="A9:B9"/>
    <mergeCell ref="A10:B10"/>
    <mergeCell ref="A11:B11"/>
    <mergeCell ref="A12:B12"/>
    <mergeCell ref="A13:B13"/>
    <mergeCell ref="A14:B14"/>
    <mergeCell ref="A15:B15"/>
    <mergeCell ref="A16:D16"/>
    <mergeCell ref="A17:B17"/>
    <mergeCell ref="E5:E6"/>
    <mergeCell ref="A6:B6"/>
    <mergeCell ref="A1:B1"/>
    <mergeCell ref="A2:B2"/>
    <mergeCell ref="A3:B3"/>
    <mergeCell ref="A4:B4"/>
    <mergeCell ref="A5:B5"/>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DD00E-C665-4452-B616-67A452ADDB06}">
  <dimension ref="A1:J191"/>
  <sheetViews>
    <sheetView topLeftCell="A67" workbookViewId="0">
      <selection activeCell="C114" sqref="C114"/>
    </sheetView>
  </sheetViews>
  <sheetFormatPr baseColWidth="10" defaultRowHeight="15.6" x14ac:dyDescent="0.3"/>
  <cols>
    <col min="1" max="1" width="15" style="7" customWidth="1"/>
    <col min="2" max="2" width="31.109375" style="7" customWidth="1"/>
    <col min="3" max="3" width="35.21875" style="368" customWidth="1"/>
    <col min="4" max="4" width="21.33203125" style="175" customWidth="1"/>
    <col min="5" max="5" width="24.88671875" style="175" customWidth="1"/>
    <col min="6" max="6" width="12.6640625" style="182" bestFit="1" customWidth="1"/>
    <col min="7" max="7" width="17.5546875" style="7" customWidth="1"/>
    <col min="8" max="8" width="11.5546875" style="7"/>
    <col min="9" max="9" width="19.77734375" style="7" customWidth="1"/>
    <col min="10" max="10" width="17.21875" style="7" customWidth="1"/>
    <col min="11" max="16384" width="11.5546875" style="7"/>
  </cols>
  <sheetData>
    <row r="1" spans="1:5" ht="25.8" customHeight="1" x14ac:dyDescent="0.3">
      <c r="A1" s="455" t="s">
        <v>373</v>
      </c>
      <c r="B1" s="455"/>
      <c r="C1" s="455"/>
      <c r="D1" s="455"/>
      <c r="E1" s="455"/>
    </row>
    <row r="2" spans="1:5" ht="15" customHeight="1" x14ac:dyDescent="0.3">
      <c r="A2" s="322"/>
      <c r="B2" s="322"/>
    </row>
    <row r="3" spans="1:5" x14ac:dyDescent="0.3">
      <c r="B3" s="394" t="s">
        <v>390</v>
      </c>
      <c r="C3" s="364">
        <v>1596</v>
      </c>
    </row>
    <row r="5" spans="1:5" x14ac:dyDescent="0.3">
      <c r="B5" s="7" t="s">
        <v>388</v>
      </c>
      <c r="C5" s="369">
        <v>9</v>
      </c>
      <c r="D5" s="175" t="s">
        <v>389</v>
      </c>
    </row>
    <row r="7" spans="1:5" x14ac:dyDescent="0.3">
      <c r="B7" s="7" t="s">
        <v>447</v>
      </c>
      <c r="C7" s="369" t="s">
        <v>520</v>
      </c>
    </row>
    <row r="9" spans="1:5" x14ac:dyDescent="0.3">
      <c r="B9" s="7" t="s">
        <v>357</v>
      </c>
      <c r="C9" s="369">
        <v>92</v>
      </c>
      <c r="D9" s="175" t="s">
        <v>484</v>
      </c>
    </row>
    <row r="11" spans="1:5" x14ac:dyDescent="0.3">
      <c r="B11" s="182" t="s">
        <v>184</v>
      </c>
      <c r="C11" s="369">
        <v>2</v>
      </c>
    </row>
    <row r="12" spans="1:5" x14ac:dyDescent="0.3">
      <c r="B12" s="182" t="s">
        <v>192</v>
      </c>
      <c r="C12" s="369">
        <v>185</v>
      </c>
    </row>
    <row r="13" spans="1:5" x14ac:dyDescent="0.3">
      <c r="B13" s="182" t="s">
        <v>185</v>
      </c>
      <c r="C13" s="369"/>
    </row>
    <row r="15" spans="1:5" x14ac:dyDescent="0.3">
      <c r="B15" s="7" t="s">
        <v>402</v>
      </c>
      <c r="C15" s="369" t="s">
        <v>556</v>
      </c>
    </row>
    <row r="17" spans="2:9" x14ac:dyDescent="0.3">
      <c r="B17" s="7" t="s">
        <v>453</v>
      </c>
      <c r="C17" s="369" t="s">
        <v>459</v>
      </c>
    </row>
    <row r="18" spans="2:9" x14ac:dyDescent="0.3">
      <c r="F18" s="175"/>
      <c r="G18" s="175"/>
      <c r="H18" s="175"/>
      <c r="I18" s="175"/>
    </row>
    <row r="19" spans="2:9" x14ac:dyDescent="0.3">
      <c r="B19" s="7" t="s">
        <v>372</v>
      </c>
      <c r="C19" s="369">
        <v>35</v>
      </c>
      <c r="D19" s="175" t="s">
        <v>437</v>
      </c>
      <c r="I19" s="175"/>
    </row>
    <row r="20" spans="2:9" x14ac:dyDescent="0.3">
      <c r="I20" s="175"/>
    </row>
    <row r="21" spans="2:9" x14ac:dyDescent="0.3">
      <c r="B21" s="7" t="s">
        <v>375</v>
      </c>
      <c r="C21" s="368" t="s">
        <v>376</v>
      </c>
      <c r="D21" s="175" t="s">
        <v>361</v>
      </c>
      <c r="E21" s="175" t="s">
        <v>377</v>
      </c>
      <c r="F21" s="182" t="s">
        <v>378</v>
      </c>
      <c r="G21" s="182" t="s">
        <v>454</v>
      </c>
      <c r="I21" s="175"/>
    </row>
    <row r="22" spans="2:9" x14ac:dyDescent="0.3">
      <c r="I22" s="175"/>
    </row>
    <row r="23" spans="2:9" x14ac:dyDescent="0.3">
      <c r="B23" s="7" t="s">
        <v>496</v>
      </c>
      <c r="C23" s="368" t="s">
        <v>498</v>
      </c>
      <c r="D23" s="380"/>
      <c r="I23" s="175"/>
    </row>
    <row r="24" spans="2:9" x14ac:dyDescent="0.3">
      <c r="D24" s="380"/>
      <c r="I24" s="175"/>
    </row>
    <row r="25" spans="2:9" x14ac:dyDescent="0.3">
      <c r="C25" s="375" t="s">
        <v>495</v>
      </c>
      <c r="D25" s="387">
        <v>5</v>
      </c>
      <c r="E25" s="116" t="s">
        <v>528</v>
      </c>
      <c r="F25" s="150">
        <v>0.25</v>
      </c>
      <c r="I25" s="175"/>
    </row>
    <row r="26" spans="2:9" ht="52.8" hidden="1" customHeight="1" x14ac:dyDescent="0.3">
      <c r="C26" s="483" t="s">
        <v>493</v>
      </c>
      <c r="D26" s="387"/>
      <c r="E26" s="116" t="s">
        <v>528</v>
      </c>
      <c r="F26" s="150">
        <v>0.25</v>
      </c>
      <c r="I26" s="175"/>
    </row>
    <row r="27" spans="2:9" hidden="1" x14ac:dyDescent="0.3">
      <c r="C27" s="483"/>
      <c r="D27" s="387"/>
      <c r="E27" s="116" t="s">
        <v>528</v>
      </c>
      <c r="F27" s="150">
        <v>0.25</v>
      </c>
      <c r="I27" s="175"/>
    </row>
    <row r="28" spans="2:9" x14ac:dyDescent="0.3">
      <c r="C28" s="375" t="s">
        <v>557</v>
      </c>
      <c r="D28" s="438">
        <v>5</v>
      </c>
      <c r="E28" s="116" t="s">
        <v>528</v>
      </c>
      <c r="F28" s="382">
        <v>0.25</v>
      </c>
      <c r="I28" s="175"/>
    </row>
    <row r="29" spans="2:9" hidden="1" x14ac:dyDescent="0.3">
      <c r="C29" s="369"/>
      <c r="D29" s="380" t="s">
        <v>497</v>
      </c>
      <c r="E29" s="383">
        <v>0.25</v>
      </c>
      <c r="I29" s="175"/>
    </row>
    <row r="30" spans="2:9" hidden="1" x14ac:dyDescent="0.3">
      <c r="C30" s="369"/>
      <c r="D30" s="380" t="s">
        <v>497</v>
      </c>
      <c r="E30" s="383">
        <v>0.5</v>
      </c>
    </row>
    <row r="31" spans="2:9" hidden="1" x14ac:dyDescent="0.3">
      <c r="D31" s="380"/>
    </row>
    <row r="32" spans="2:9" x14ac:dyDescent="0.3">
      <c r="B32" s="7" t="s">
        <v>517</v>
      </c>
      <c r="D32" s="380"/>
    </row>
    <row r="33" spans="2:9" x14ac:dyDescent="0.3">
      <c r="D33" s="380"/>
    </row>
    <row r="34" spans="2:9" x14ac:dyDescent="0.3">
      <c r="B34" s="7" t="s">
        <v>371</v>
      </c>
      <c r="D34" s="377">
        <v>4.02E-2</v>
      </c>
    </row>
    <row r="35" spans="2:9" x14ac:dyDescent="0.3">
      <c r="C35" s="7"/>
      <c r="D35" s="407"/>
    </row>
    <row r="36" spans="2:9" x14ac:dyDescent="0.3">
      <c r="C36" s="368" t="s">
        <v>217</v>
      </c>
      <c r="D36" s="377" t="s">
        <v>27</v>
      </c>
      <c r="E36" s="364" t="s">
        <v>26</v>
      </c>
    </row>
    <row r="37" spans="2:9" x14ac:dyDescent="0.3">
      <c r="B37" s="7" t="s">
        <v>544</v>
      </c>
      <c r="C37" s="368">
        <v>100</v>
      </c>
      <c r="D37" s="377">
        <v>0.5</v>
      </c>
      <c r="E37" s="383">
        <v>0.5</v>
      </c>
    </row>
    <row r="39" spans="2:9" x14ac:dyDescent="0.3">
      <c r="B39" s="7" t="s">
        <v>543</v>
      </c>
      <c r="D39" s="377">
        <v>8.6999999999999994E-3</v>
      </c>
      <c r="E39" s="377">
        <v>1.72E-2</v>
      </c>
      <c r="F39" s="488"/>
      <c r="G39" s="488"/>
      <c r="I39" s="306"/>
    </row>
    <row r="41" spans="2:9" x14ac:dyDescent="0.3">
      <c r="B41" s="7" t="s">
        <v>477</v>
      </c>
      <c r="C41" s="368" t="s">
        <v>209</v>
      </c>
      <c r="D41" s="367">
        <v>22</v>
      </c>
      <c r="E41" s="175" t="s">
        <v>478</v>
      </c>
      <c r="F41" s="307"/>
    </row>
    <row r="42" spans="2:9" x14ac:dyDescent="0.3">
      <c r="C42" s="368" t="s">
        <v>479</v>
      </c>
      <c r="D42" s="367" t="s">
        <v>521</v>
      </c>
      <c r="F42" s="307"/>
    </row>
    <row r="43" spans="2:9" x14ac:dyDescent="0.3">
      <c r="C43" s="368" t="s">
        <v>522</v>
      </c>
      <c r="D43" s="367">
        <v>22</v>
      </c>
      <c r="F43" s="307"/>
    </row>
    <row r="44" spans="2:9" x14ac:dyDescent="0.3">
      <c r="D44" s="274"/>
      <c r="F44" s="307"/>
    </row>
    <row r="45" spans="2:9" ht="15" customHeight="1" x14ac:dyDescent="0.3">
      <c r="B45" s="7" t="s">
        <v>346</v>
      </c>
      <c r="D45" s="367">
        <v>2000</v>
      </c>
      <c r="F45" s="307"/>
    </row>
    <row r="46" spans="2:9" ht="62.4" hidden="1" x14ac:dyDescent="0.3">
      <c r="B46" s="7" t="s">
        <v>523</v>
      </c>
      <c r="D46" s="367"/>
      <c r="E46" s="175" t="s">
        <v>524</v>
      </c>
      <c r="F46" s="307"/>
    </row>
    <row r="47" spans="2:9" hidden="1" x14ac:dyDescent="0.3">
      <c r="D47" s="274"/>
      <c r="F47" s="307"/>
    </row>
    <row r="48" spans="2:9" hidden="1" x14ac:dyDescent="0.3">
      <c r="B48" s="7" t="s">
        <v>432</v>
      </c>
      <c r="C48" s="368" t="s">
        <v>361</v>
      </c>
      <c r="D48" s="378"/>
      <c r="E48" s="175" t="s">
        <v>377</v>
      </c>
      <c r="F48" s="307" t="s">
        <v>378</v>
      </c>
      <c r="G48" s="357"/>
    </row>
    <row r="49" spans="1:9" hidden="1" x14ac:dyDescent="0.3">
      <c r="D49" s="191"/>
      <c r="F49" s="307"/>
    </row>
    <row r="50" spans="1:9" x14ac:dyDescent="0.3">
      <c r="D50" s="191"/>
      <c r="F50" s="307"/>
    </row>
    <row r="51" spans="1:9" x14ac:dyDescent="0.3">
      <c r="B51" s="395" t="s">
        <v>525</v>
      </c>
      <c r="C51" s="369"/>
      <c r="D51" s="378"/>
      <c r="E51" s="364"/>
      <c r="F51" s="357"/>
      <c r="G51" s="395"/>
      <c r="H51" s="395"/>
      <c r="I51" s="395"/>
    </row>
    <row r="52" spans="1:9" x14ac:dyDescent="0.3">
      <c r="B52" s="395" t="s">
        <v>526</v>
      </c>
      <c r="D52" s="191"/>
      <c r="F52" s="307"/>
    </row>
    <row r="53" spans="1:9" hidden="1" x14ac:dyDescent="0.3">
      <c r="D53" s="274"/>
      <c r="F53" s="307"/>
    </row>
    <row r="54" spans="1:9" hidden="1" x14ac:dyDescent="0.3">
      <c r="B54" s="7" t="s">
        <v>432</v>
      </c>
      <c r="C54" s="368" t="s">
        <v>361</v>
      </c>
      <c r="D54" s="378"/>
      <c r="E54" s="175" t="s">
        <v>377</v>
      </c>
      <c r="F54" s="307" t="s">
        <v>378</v>
      </c>
      <c r="G54" s="357"/>
    </row>
    <row r="55" spans="1:9" hidden="1" x14ac:dyDescent="0.3">
      <c r="D55" s="191"/>
      <c r="F55" s="307"/>
    </row>
    <row r="56" spans="1:9" x14ac:dyDescent="0.3">
      <c r="D56" s="191"/>
      <c r="F56" s="307"/>
    </row>
    <row r="57" spans="1:9" x14ac:dyDescent="0.3">
      <c r="A57" s="480" t="s">
        <v>374</v>
      </c>
      <c r="B57" s="480"/>
      <c r="C57" s="484" t="s">
        <v>499</v>
      </c>
      <c r="D57" s="484"/>
      <c r="E57" s="484"/>
      <c r="F57" s="307"/>
    </row>
    <row r="58" spans="1:9" x14ac:dyDescent="0.3">
      <c r="A58" s="322"/>
      <c r="B58" s="322"/>
      <c r="D58" s="191"/>
      <c r="F58" s="307"/>
    </row>
    <row r="59" spans="1:9" x14ac:dyDescent="0.3">
      <c r="A59" s="322"/>
      <c r="B59" s="7" t="s">
        <v>434</v>
      </c>
      <c r="D59" s="191"/>
      <c r="F59" s="307"/>
    </row>
    <row r="60" spans="1:9" hidden="1" x14ac:dyDescent="0.3">
      <c r="A60" s="322"/>
      <c r="B60" s="322"/>
      <c r="D60" s="191"/>
      <c r="F60" s="307"/>
    </row>
    <row r="61" spans="1:9" x14ac:dyDescent="0.3">
      <c r="D61" s="191"/>
      <c r="F61" s="307"/>
    </row>
    <row r="62" spans="1:9" x14ac:dyDescent="0.3">
      <c r="B62" s="7" t="s">
        <v>442</v>
      </c>
      <c r="C62" s="369">
        <v>151.66999999999999</v>
      </c>
      <c r="D62" s="481"/>
      <c r="E62" s="481"/>
    </row>
    <row r="63" spans="1:9" x14ac:dyDescent="0.3">
      <c r="D63" s="191"/>
      <c r="F63" s="307"/>
    </row>
    <row r="64" spans="1:9" ht="0.6" customHeight="1" x14ac:dyDescent="0.3">
      <c r="B64" s="182" t="s">
        <v>444</v>
      </c>
      <c r="C64" s="369"/>
      <c r="D64" s="7"/>
      <c r="E64" s="7"/>
      <c r="F64" s="307"/>
    </row>
    <row r="65" spans="2:6" x14ac:dyDescent="0.3">
      <c r="D65" s="191"/>
      <c r="F65" s="307"/>
    </row>
    <row r="66" spans="2:6" x14ac:dyDescent="0.3">
      <c r="B66" s="7" t="s">
        <v>438</v>
      </c>
      <c r="C66" s="369">
        <v>1876</v>
      </c>
      <c r="D66" s="482" t="s">
        <v>558</v>
      </c>
      <c r="E66" s="482"/>
    </row>
    <row r="67" spans="2:6" x14ac:dyDescent="0.3">
      <c r="D67" s="491"/>
      <c r="E67" s="491"/>
      <c r="F67" s="358"/>
    </row>
    <row r="68" spans="2:6" hidden="1" x14ac:dyDescent="0.3">
      <c r="B68" s="7" t="s">
        <v>445</v>
      </c>
      <c r="C68" s="370"/>
      <c r="D68" s="491"/>
      <c r="E68" s="491"/>
    </row>
    <row r="69" spans="2:6" hidden="1" x14ac:dyDescent="0.3"/>
    <row r="70" spans="2:6" hidden="1" x14ac:dyDescent="0.3">
      <c r="B70" s="7" t="s">
        <v>446</v>
      </c>
      <c r="C70" s="369"/>
      <c r="D70" s="481"/>
      <c r="E70" s="481"/>
    </row>
    <row r="71" spans="2:6" hidden="1" x14ac:dyDescent="0.3">
      <c r="D71" s="191"/>
      <c r="F71" s="307"/>
    </row>
    <row r="72" spans="2:6" hidden="1" x14ac:dyDescent="0.3">
      <c r="B72" s="7" t="s">
        <v>440</v>
      </c>
      <c r="C72" s="369"/>
      <c r="D72" s="481"/>
      <c r="E72" s="481"/>
      <c r="F72" s="307"/>
    </row>
    <row r="73" spans="2:6" hidden="1" x14ac:dyDescent="0.3">
      <c r="D73" s="191"/>
      <c r="F73" s="307"/>
    </row>
    <row r="74" spans="2:6" hidden="1" x14ac:dyDescent="0.3">
      <c r="B74" s="7" t="s">
        <v>439</v>
      </c>
      <c r="C74" s="371"/>
      <c r="D74" s="489"/>
      <c r="E74" s="489"/>
    </row>
    <row r="75" spans="2:6" hidden="1" x14ac:dyDescent="0.3">
      <c r="C75" s="372"/>
      <c r="D75" s="379"/>
      <c r="E75" s="379"/>
    </row>
    <row r="76" spans="2:6" hidden="1" x14ac:dyDescent="0.3">
      <c r="B76" s="7" t="s">
        <v>455</v>
      </c>
      <c r="C76" s="373">
        <v>33119</v>
      </c>
      <c r="D76" s="379"/>
      <c r="E76" s="379"/>
    </row>
    <row r="77" spans="2:6" hidden="1" x14ac:dyDescent="0.3">
      <c r="C77" s="372"/>
      <c r="D77" s="379"/>
      <c r="E77" s="379"/>
    </row>
    <row r="78" spans="2:6" hidden="1" x14ac:dyDescent="0.3">
      <c r="B78" s="7" t="s">
        <v>460</v>
      </c>
      <c r="C78" s="373"/>
      <c r="D78" s="489"/>
      <c r="E78" s="489"/>
    </row>
    <row r="79" spans="2:6" x14ac:dyDescent="0.3">
      <c r="C79" s="372"/>
      <c r="D79" s="379"/>
      <c r="E79" s="379"/>
    </row>
    <row r="80" spans="2:6" x14ac:dyDescent="0.3">
      <c r="C80" s="375" t="s">
        <v>527</v>
      </c>
      <c r="D80" s="492" t="s">
        <v>0</v>
      </c>
      <c r="E80" s="492"/>
    </row>
    <row r="81" spans="2:9" x14ac:dyDescent="0.3">
      <c r="B81" s="7" t="s">
        <v>480</v>
      </c>
      <c r="C81" s="396">
        <v>22</v>
      </c>
      <c r="D81" s="184">
        <v>22</v>
      </c>
      <c r="E81" s="397">
        <v>22</v>
      </c>
    </row>
    <row r="82" spans="2:9" x14ac:dyDescent="0.3">
      <c r="B82" s="379" t="s">
        <v>521</v>
      </c>
      <c r="C82" s="396">
        <v>5.36</v>
      </c>
      <c r="D82" s="184">
        <v>10.3</v>
      </c>
      <c r="E82" s="397">
        <v>1.3</v>
      </c>
    </row>
    <row r="83" spans="2:9" ht="18" customHeight="1" x14ac:dyDescent="0.3">
      <c r="C83" s="396">
        <f>C81*C82</f>
        <v>117.92</v>
      </c>
      <c r="D83" s="396">
        <f t="shared" ref="D83:E83" si="0">D81*D82</f>
        <v>226.60000000000002</v>
      </c>
      <c r="E83" s="396">
        <f t="shared" si="0"/>
        <v>28.6</v>
      </c>
      <c r="F83" s="493"/>
      <c r="G83" s="488"/>
    </row>
    <row r="84" spans="2:9" ht="0.6" customHeight="1" x14ac:dyDescent="0.3">
      <c r="C84" s="372"/>
      <c r="D84" s="379"/>
      <c r="E84" s="379"/>
    </row>
    <row r="85" spans="2:9" ht="0.6" hidden="1" customHeight="1" x14ac:dyDescent="0.3">
      <c r="B85" s="7" t="s">
        <v>464</v>
      </c>
      <c r="C85" s="373"/>
      <c r="D85" s="490"/>
      <c r="E85" s="490"/>
      <c r="F85" s="490"/>
      <c r="G85" s="490"/>
    </row>
    <row r="86" spans="2:9" ht="0.6" hidden="1" customHeight="1" x14ac:dyDescent="0.3">
      <c r="C86" s="372"/>
      <c r="D86" s="379"/>
      <c r="E86" s="379"/>
    </row>
    <row r="87" spans="2:9" ht="0.6" hidden="1" customHeight="1" x14ac:dyDescent="0.3">
      <c r="C87" s="372"/>
      <c r="D87" s="379"/>
      <c r="E87" s="379"/>
    </row>
    <row r="88" spans="2:9" ht="0.6" hidden="1" customHeight="1" x14ac:dyDescent="0.3">
      <c r="B88" s="360" t="s">
        <v>461</v>
      </c>
      <c r="C88" s="369"/>
      <c r="D88" s="489" t="s">
        <v>462</v>
      </c>
      <c r="E88" s="489"/>
    </row>
    <row r="89" spans="2:9" ht="0.6" hidden="1" customHeight="1" x14ac:dyDescent="0.3">
      <c r="B89" s="7" t="s">
        <v>463</v>
      </c>
      <c r="C89" s="372"/>
      <c r="D89" s="379"/>
      <c r="E89" s="379"/>
    </row>
    <row r="90" spans="2:9" ht="0.6" hidden="1" customHeight="1" x14ac:dyDescent="0.3">
      <c r="D90" s="379"/>
      <c r="E90" s="379"/>
    </row>
    <row r="91" spans="2:9" ht="0.6" hidden="1" customHeight="1" x14ac:dyDescent="0.3">
      <c r="B91" s="7" t="s">
        <v>476</v>
      </c>
      <c r="D91" s="379"/>
      <c r="E91" s="379"/>
    </row>
    <row r="92" spans="2:9" ht="0.6" hidden="1" customHeight="1" x14ac:dyDescent="0.3">
      <c r="D92" s="379"/>
      <c r="E92" s="379"/>
    </row>
    <row r="93" spans="2:9" ht="0.6" hidden="1" customHeight="1" x14ac:dyDescent="0.3">
      <c r="B93" s="308" t="s">
        <v>465</v>
      </c>
      <c r="C93" s="368" t="s">
        <v>466</v>
      </c>
      <c r="D93" s="379"/>
      <c r="E93" s="379"/>
    </row>
    <row r="94" spans="2:9" ht="0.6" hidden="1" customHeight="1" x14ac:dyDescent="0.3">
      <c r="C94" s="368" t="s">
        <v>467</v>
      </c>
      <c r="D94" s="379"/>
      <c r="E94" s="379"/>
    </row>
    <row r="95" spans="2:9" ht="0.6" hidden="1" customHeight="1" x14ac:dyDescent="0.3">
      <c r="D95" s="379"/>
      <c r="E95" s="379"/>
    </row>
    <row r="96" spans="2:9" ht="0.6" hidden="1" customHeight="1" x14ac:dyDescent="0.3">
      <c r="D96" s="477"/>
      <c r="E96" s="477"/>
      <c r="F96" s="477"/>
      <c r="G96" s="477"/>
      <c r="H96" s="477"/>
      <c r="I96" s="477"/>
    </row>
    <row r="97" spans="2:9" ht="0.6" hidden="1" customHeight="1" x14ac:dyDescent="0.3">
      <c r="C97" s="369" t="s">
        <v>471</v>
      </c>
      <c r="D97" s="478" t="s">
        <v>469</v>
      </c>
      <c r="E97" s="478"/>
      <c r="F97" s="478"/>
      <c r="G97" s="478"/>
      <c r="H97" s="478"/>
      <c r="I97" s="478"/>
    </row>
    <row r="98" spans="2:9" ht="0.6" hidden="1" customHeight="1" x14ac:dyDescent="0.3">
      <c r="C98" s="372"/>
      <c r="D98" s="478"/>
      <c r="E98" s="478"/>
      <c r="F98" s="478"/>
      <c r="G98" s="478"/>
      <c r="H98" s="478"/>
      <c r="I98" s="478"/>
    </row>
    <row r="99" spans="2:9" ht="0.6" hidden="1" customHeight="1" x14ac:dyDescent="0.3">
      <c r="C99" s="374" t="s">
        <v>472</v>
      </c>
      <c r="D99" s="478" t="s">
        <v>468</v>
      </c>
      <c r="E99" s="478"/>
      <c r="F99" s="478"/>
      <c r="G99" s="478"/>
      <c r="H99" s="478"/>
      <c r="I99" s="478"/>
    </row>
    <row r="100" spans="2:9" ht="0.6" customHeight="1" x14ac:dyDescent="0.3">
      <c r="C100" s="372"/>
      <c r="D100" s="478"/>
      <c r="E100" s="478"/>
      <c r="F100" s="478"/>
      <c r="G100" s="478"/>
      <c r="H100" s="478"/>
      <c r="I100" s="478"/>
    </row>
    <row r="101" spans="2:9" ht="0.6" customHeight="1" x14ac:dyDescent="0.3">
      <c r="C101" s="372"/>
      <c r="D101" s="478"/>
      <c r="E101" s="478"/>
      <c r="F101" s="478"/>
      <c r="G101" s="478"/>
      <c r="H101" s="478"/>
      <c r="I101" s="478"/>
    </row>
    <row r="102" spans="2:9" ht="1.2" hidden="1" customHeight="1" x14ac:dyDescent="0.3">
      <c r="C102" s="372"/>
      <c r="D102" s="379"/>
      <c r="E102" s="379"/>
      <c r="F102" s="361"/>
      <c r="G102" s="361"/>
      <c r="H102" s="361"/>
      <c r="I102" s="361"/>
    </row>
    <row r="103" spans="2:9" ht="1.2" hidden="1" customHeight="1" x14ac:dyDescent="0.3">
      <c r="B103" s="7" t="s">
        <v>470</v>
      </c>
      <c r="C103" s="372"/>
      <c r="D103" s="379"/>
      <c r="E103" s="379"/>
      <c r="F103" s="361"/>
      <c r="G103" s="361"/>
      <c r="H103" s="361"/>
      <c r="I103" s="361"/>
    </row>
    <row r="104" spans="2:9" ht="1.2" hidden="1" customHeight="1" x14ac:dyDescent="0.3">
      <c r="B104" s="7" t="s">
        <v>474</v>
      </c>
      <c r="C104" s="372"/>
      <c r="D104" s="379"/>
      <c r="E104" s="379"/>
      <c r="F104" s="361"/>
      <c r="G104" s="361"/>
      <c r="H104" s="361"/>
      <c r="I104" s="361"/>
    </row>
    <row r="105" spans="2:9" ht="1.2" hidden="1" customHeight="1" x14ac:dyDescent="0.3">
      <c r="C105" s="372"/>
      <c r="D105" s="379"/>
      <c r="E105" s="379"/>
    </row>
    <row r="106" spans="2:9" ht="1.2" hidden="1" customHeight="1" x14ac:dyDescent="0.3">
      <c r="B106" s="476" t="s">
        <v>475</v>
      </c>
      <c r="C106" s="485">
        <f>ROUND(C74,2)</f>
        <v>0</v>
      </c>
      <c r="D106" s="379"/>
      <c r="E106" s="379"/>
    </row>
    <row r="107" spans="2:9" ht="1.2" hidden="1" customHeight="1" x14ac:dyDescent="0.3">
      <c r="B107" s="476"/>
      <c r="C107" s="486"/>
      <c r="D107" s="379"/>
      <c r="E107" s="379"/>
    </row>
    <row r="108" spans="2:9" ht="1.2" hidden="1" customHeight="1" x14ac:dyDescent="0.3">
      <c r="C108" s="372"/>
      <c r="D108" s="379"/>
      <c r="E108" s="379"/>
    </row>
    <row r="109" spans="2:9" ht="1.2" hidden="1" customHeight="1" x14ac:dyDescent="0.3">
      <c r="C109" s="372"/>
      <c r="D109" s="379"/>
      <c r="E109" s="379"/>
    </row>
    <row r="110" spans="2:9" ht="21.6" customHeight="1" x14ac:dyDescent="0.3">
      <c r="B110" s="7" t="s">
        <v>456</v>
      </c>
      <c r="C110" s="372" t="s">
        <v>529</v>
      </c>
      <c r="D110" s="379"/>
      <c r="E110" s="379"/>
    </row>
    <row r="111" spans="2:9" ht="20.399999999999999" customHeight="1" x14ac:dyDescent="0.3">
      <c r="C111" s="372"/>
      <c r="D111" s="379"/>
      <c r="E111" s="379"/>
    </row>
    <row r="112" spans="2:9" ht="21.6" hidden="1" customHeight="1" x14ac:dyDescent="0.3">
      <c r="B112" s="487" t="s">
        <v>448</v>
      </c>
      <c r="C112" s="487"/>
      <c r="D112" s="487"/>
      <c r="E112" s="379"/>
    </row>
    <row r="113" spans="2:10" ht="21.6" customHeight="1" x14ac:dyDescent="0.3"/>
    <row r="114" spans="2:10" ht="21.6" customHeight="1" x14ac:dyDescent="0.3">
      <c r="B114" s="7" t="s">
        <v>262</v>
      </c>
      <c r="C114" s="453">
        <f>3925*C62/151.67</f>
        <v>3925.0000000000005</v>
      </c>
      <c r="E114" s="362"/>
    </row>
    <row r="115" spans="2:10" ht="21.6" customHeight="1" x14ac:dyDescent="0.3">
      <c r="D115" s="481"/>
      <c r="E115" s="481"/>
      <c r="F115" s="494"/>
      <c r="G115" s="494"/>
      <c r="H115" s="494"/>
      <c r="I115" s="494"/>
      <c r="J115" s="494"/>
    </row>
    <row r="116" spans="2:10" ht="21.6" customHeight="1" x14ac:dyDescent="0.3">
      <c r="B116" s="7" t="s">
        <v>162</v>
      </c>
      <c r="C116" s="371">
        <f>'MASQUE DE SAISIE '!E69</f>
        <v>161.66999999999999</v>
      </c>
      <c r="D116" s="481"/>
      <c r="E116" s="481"/>
      <c r="F116" s="7"/>
    </row>
    <row r="117" spans="2:10" ht="29.4" customHeight="1" x14ac:dyDescent="0.3"/>
    <row r="118" spans="2:10" ht="1.8" hidden="1" customHeight="1" x14ac:dyDescent="0.3">
      <c r="D118" s="175" t="s">
        <v>482</v>
      </c>
    </row>
    <row r="119" spans="2:10" ht="0.6" hidden="1" customHeight="1" x14ac:dyDescent="0.3">
      <c r="D119" s="175" t="s">
        <v>483</v>
      </c>
    </row>
    <row r="120" spans="2:10" ht="0.6" hidden="1" customHeight="1" x14ac:dyDescent="0.3"/>
    <row r="121" spans="2:10" ht="0.6" hidden="1" customHeight="1" x14ac:dyDescent="0.3"/>
    <row r="122" spans="2:10" ht="0.6" hidden="1" customHeight="1" x14ac:dyDescent="0.3"/>
    <row r="123" spans="2:10" ht="1.2" hidden="1" customHeight="1" x14ac:dyDescent="0.3">
      <c r="D123" s="7"/>
      <c r="E123" s="7"/>
      <c r="H123" s="182"/>
      <c r="I123" s="182"/>
      <c r="J123" s="182"/>
    </row>
    <row r="124" spans="2:10" ht="1.2" hidden="1" customHeight="1" x14ac:dyDescent="0.3">
      <c r="H124" s="182"/>
      <c r="I124" s="182"/>
      <c r="J124" s="182"/>
    </row>
    <row r="125" spans="2:10" ht="1.2" hidden="1" customHeight="1" x14ac:dyDescent="0.3">
      <c r="H125" s="182"/>
      <c r="I125" s="182"/>
      <c r="J125" s="182"/>
    </row>
    <row r="126" spans="2:10" ht="1.2" hidden="1" customHeight="1" x14ac:dyDescent="0.3">
      <c r="D126" s="116" t="s">
        <v>443</v>
      </c>
      <c r="E126" s="116" t="s">
        <v>322</v>
      </c>
      <c r="F126" s="307"/>
      <c r="H126" s="182"/>
      <c r="I126" s="307"/>
    </row>
    <row r="127" spans="2:10" ht="1.2" hidden="1" customHeight="1" x14ac:dyDescent="0.3">
      <c r="B127" s="166">
        <v>45778</v>
      </c>
      <c r="C127" s="376" t="s">
        <v>489</v>
      </c>
      <c r="D127" s="184">
        <v>7</v>
      </c>
      <c r="E127" s="184"/>
      <c r="F127" s="476" t="s">
        <v>490</v>
      </c>
      <c r="G127" s="365"/>
      <c r="H127" s="182"/>
      <c r="I127" s="182"/>
    </row>
    <row r="128" spans="2:10" ht="1.2" hidden="1" customHeight="1" x14ac:dyDescent="0.3">
      <c r="B128" s="166">
        <v>45779</v>
      </c>
      <c r="C128" s="376" t="s">
        <v>229</v>
      </c>
      <c r="D128" s="184">
        <v>7</v>
      </c>
      <c r="E128" s="184"/>
      <c r="F128" s="476"/>
      <c r="G128" s="365"/>
      <c r="H128" s="182"/>
      <c r="I128" s="182"/>
    </row>
    <row r="129" spans="2:9" ht="1.2" hidden="1" customHeight="1" x14ac:dyDescent="0.3">
      <c r="B129" s="166">
        <v>45780</v>
      </c>
      <c r="C129" s="375" t="s">
        <v>230</v>
      </c>
      <c r="E129" s="116"/>
      <c r="G129" s="365"/>
      <c r="H129" s="182"/>
      <c r="I129" s="182"/>
    </row>
    <row r="130" spans="2:9" ht="1.2" hidden="1" customHeight="1" x14ac:dyDescent="0.3">
      <c r="B130" s="166">
        <v>45781</v>
      </c>
      <c r="C130" s="375" t="s">
        <v>231</v>
      </c>
      <c r="D130" s="116"/>
      <c r="E130" s="116"/>
      <c r="G130" s="365"/>
      <c r="H130" s="182"/>
      <c r="I130" s="182"/>
    </row>
    <row r="131" spans="2:9" ht="1.2" hidden="1" customHeight="1" x14ac:dyDescent="0.3">
      <c r="B131" s="166">
        <v>45782</v>
      </c>
      <c r="C131" s="376" t="s">
        <v>232</v>
      </c>
      <c r="D131" s="184">
        <v>7</v>
      </c>
      <c r="E131" s="184">
        <v>1</v>
      </c>
      <c r="F131" s="476" t="s">
        <v>491</v>
      </c>
      <c r="G131" s="365"/>
      <c r="H131" s="182"/>
      <c r="I131" s="182"/>
    </row>
    <row r="132" spans="2:9" ht="1.2" hidden="1" customHeight="1" x14ac:dyDescent="0.3">
      <c r="B132" s="166">
        <v>45783</v>
      </c>
      <c r="C132" s="376" t="s">
        <v>233</v>
      </c>
      <c r="D132" s="184">
        <v>7</v>
      </c>
      <c r="E132" s="184">
        <v>1</v>
      </c>
      <c r="F132" s="476"/>
      <c r="G132" s="365"/>
      <c r="H132" s="182"/>
      <c r="I132" s="182"/>
    </row>
    <row r="133" spans="2:9" ht="1.2" hidden="1" customHeight="1" x14ac:dyDescent="0.3">
      <c r="B133" s="166">
        <v>45784</v>
      </c>
      <c r="C133" s="376" t="s">
        <v>234</v>
      </c>
      <c r="D133" s="184">
        <v>7</v>
      </c>
      <c r="E133" s="184">
        <v>1</v>
      </c>
      <c r="F133" s="476"/>
      <c r="G133" s="365"/>
      <c r="H133" s="182"/>
      <c r="I133" s="182"/>
    </row>
    <row r="134" spans="2:9" ht="1.2" hidden="1" customHeight="1" x14ac:dyDescent="0.3">
      <c r="B134" s="166">
        <v>45785</v>
      </c>
      <c r="C134" s="376" t="s">
        <v>228</v>
      </c>
      <c r="D134" s="184">
        <v>7</v>
      </c>
      <c r="E134" s="184"/>
      <c r="F134" s="476"/>
      <c r="G134" s="365"/>
      <c r="H134" s="182"/>
      <c r="I134" s="182"/>
    </row>
    <row r="135" spans="2:9" ht="1.2" hidden="1" customHeight="1" x14ac:dyDescent="0.3">
      <c r="B135" s="166">
        <v>45786</v>
      </c>
      <c r="C135" s="376" t="s">
        <v>229</v>
      </c>
      <c r="D135" s="184">
        <v>7</v>
      </c>
      <c r="E135" s="184"/>
      <c r="F135" s="476"/>
      <c r="G135" s="365"/>
      <c r="H135" s="182"/>
      <c r="I135" s="182"/>
    </row>
    <row r="136" spans="2:9" ht="1.2" hidden="1" customHeight="1" x14ac:dyDescent="0.3">
      <c r="B136" s="166">
        <v>45787</v>
      </c>
      <c r="C136" s="375" t="s">
        <v>230</v>
      </c>
      <c r="D136" s="116"/>
      <c r="E136" s="116"/>
      <c r="G136" s="365"/>
      <c r="H136" s="182"/>
      <c r="I136" s="182"/>
    </row>
    <row r="137" spans="2:9" ht="1.2" hidden="1" customHeight="1" x14ac:dyDescent="0.3">
      <c r="B137" s="166">
        <v>45788</v>
      </c>
      <c r="C137" s="375" t="s">
        <v>231</v>
      </c>
      <c r="D137" s="116"/>
      <c r="E137" s="116"/>
      <c r="G137" s="365"/>
      <c r="H137" s="182"/>
      <c r="I137" s="182"/>
    </row>
    <row r="138" spans="2:9" ht="1.2" hidden="1" customHeight="1" x14ac:dyDescent="0.3">
      <c r="B138" s="166">
        <v>45789</v>
      </c>
      <c r="C138" s="376" t="s">
        <v>232</v>
      </c>
      <c r="D138" s="184">
        <v>7</v>
      </c>
      <c r="E138" s="184"/>
      <c r="F138" s="476" t="s">
        <v>492</v>
      </c>
      <c r="G138" s="365"/>
      <c r="H138" s="182"/>
      <c r="I138" s="182"/>
    </row>
    <row r="139" spans="2:9" ht="1.2" hidden="1" customHeight="1" x14ac:dyDescent="0.3">
      <c r="B139" s="166">
        <v>45790</v>
      </c>
      <c r="C139" s="376" t="s">
        <v>233</v>
      </c>
      <c r="D139" s="184">
        <v>7</v>
      </c>
      <c r="E139" s="184"/>
      <c r="F139" s="476"/>
      <c r="G139" s="365"/>
      <c r="H139" s="182"/>
      <c r="I139" s="182"/>
    </row>
    <row r="140" spans="2:9" ht="1.2" hidden="1" customHeight="1" x14ac:dyDescent="0.3">
      <c r="B140" s="166">
        <v>45791</v>
      </c>
      <c r="C140" s="376" t="s">
        <v>234</v>
      </c>
      <c r="D140" s="184">
        <v>7</v>
      </c>
      <c r="E140" s="184"/>
      <c r="F140" s="476"/>
      <c r="G140" s="365"/>
      <c r="H140" s="182"/>
      <c r="I140" s="182"/>
    </row>
    <row r="141" spans="2:9" ht="1.2" hidden="1" customHeight="1" x14ac:dyDescent="0.3">
      <c r="B141" s="166">
        <v>45792</v>
      </c>
      <c r="C141" s="376" t="s">
        <v>228</v>
      </c>
      <c r="D141" s="184">
        <v>7</v>
      </c>
      <c r="E141" s="184"/>
      <c r="F141" s="476"/>
      <c r="G141" s="365"/>
      <c r="H141" s="182"/>
      <c r="I141" s="182"/>
    </row>
    <row r="142" spans="2:9" ht="1.2" hidden="1" customHeight="1" x14ac:dyDescent="0.3">
      <c r="B142" s="166">
        <v>45793</v>
      </c>
      <c r="C142" s="376" t="s">
        <v>229</v>
      </c>
      <c r="D142" s="184">
        <v>7</v>
      </c>
      <c r="E142" s="184"/>
      <c r="F142" s="476"/>
      <c r="G142" s="365"/>
      <c r="H142" s="182"/>
      <c r="I142" s="182"/>
    </row>
    <row r="143" spans="2:9" ht="1.2" hidden="1" customHeight="1" x14ac:dyDescent="0.3">
      <c r="B143" s="166">
        <v>45794</v>
      </c>
      <c r="C143" s="375" t="s">
        <v>230</v>
      </c>
      <c r="D143" s="116"/>
      <c r="E143" s="116"/>
      <c r="G143" s="365"/>
      <c r="H143" s="182"/>
      <c r="I143" s="182"/>
    </row>
    <row r="144" spans="2:9" ht="1.2" hidden="1" customHeight="1" x14ac:dyDescent="0.3">
      <c r="B144" s="166">
        <v>45795</v>
      </c>
      <c r="C144" s="375" t="s">
        <v>231</v>
      </c>
      <c r="D144" s="116"/>
      <c r="E144" s="116"/>
      <c r="G144" s="365"/>
      <c r="H144" s="182"/>
      <c r="I144" s="182"/>
    </row>
    <row r="145" spans="2:10" ht="1.2" hidden="1" customHeight="1" x14ac:dyDescent="0.3">
      <c r="B145" s="166">
        <v>45796</v>
      </c>
      <c r="C145" s="376" t="s">
        <v>232</v>
      </c>
      <c r="D145" s="184">
        <v>7</v>
      </c>
      <c r="E145" s="184">
        <v>3</v>
      </c>
      <c r="F145" s="476" t="s">
        <v>493</v>
      </c>
      <c r="G145" s="365"/>
      <c r="H145" s="182"/>
      <c r="I145" s="182"/>
    </row>
    <row r="146" spans="2:10" ht="1.2" hidden="1" customHeight="1" x14ac:dyDescent="0.3">
      <c r="B146" s="166">
        <v>45797</v>
      </c>
      <c r="C146" s="376" t="s">
        <v>233</v>
      </c>
      <c r="D146" s="184">
        <v>7</v>
      </c>
      <c r="E146" s="184">
        <v>2</v>
      </c>
      <c r="F146" s="476"/>
      <c r="G146" s="365"/>
      <c r="H146" s="182"/>
      <c r="I146" s="182"/>
    </row>
    <row r="147" spans="2:10" ht="1.2" hidden="1" customHeight="1" x14ac:dyDescent="0.3">
      <c r="B147" s="166">
        <v>45798</v>
      </c>
      <c r="C147" s="376" t="s">
        <v>234</v>
      </c>
      <c r="D147" s="184">
        <v>7</v>
      </c>
      <c r="E147" s="184">
        <v>2</v>
      </c>
      <c r="F147" s="476"/>
      <c r="G147" s="365"/>
      <c r="H147" s="182"/>
      <c r="I147" s="182"/>
    </row>
    <row r="148" spans="2:10" ht="1.2" hidden="1" customHeight="1" x14ac:dyDescent="0.3">
      <c r="B148" s="166">
        <v>45799</v>
      </c>
      <c r="C148" s="376" t="s">
        <v>228</v>
      </c>
      <c r="D148" s="184">
        <v>7</v>
      </c>
      <c r="E148" s="184">
        <v>2</v>
      </c>
      <c r="F148" s="476"/>
      <c r="G148" s="365"/>
      <c r="H148" s="182"/>
      <c r="I148" s="182"/>
    </row>
    <row r="149" spans="2:10" ht="1.2" hidden="1" customHeight="1" x14ac:dyDescent="0.3">
      <c r="B149" s="166">
        <v>45800</v>
      </c>
      <c r="C149" s="376" t="s">
        <v>229</v>
      </c>
      <c r="D149" s="184">
        <v>7</v>
      </c>
      <c r="E149" s="184">
        <v>3</v>
      </c>
      <c r="F149" s="476"/>
      <c r="G149" s="365"/>
      <c r="H149" s="182"/>
      <c r="I149" s="182"/>
    </row>
    <row r="150" spans="2:10" ht="1.2" hidden="1" customHeight="1" x14ac:dyDescent="0.3">
      <c r="B150" s="166">
        <v>45801</v>
      </c>
      <c r="C150" s="375" t="s">
        <v>230</v>
      </c>
      <c r="D150" s="116">
        <v>7</v>
      </c>
      <c r="E150" s="116"/>
      <c r="G150" s="365"/>
      <c r="H150" s="182"/>
      <c r="I150" s="182"/>
    </row>
    <row r="151" spans="2:10" ht="1.2" hidden="1" customHeight="1" x14ac:dyDescent="0.3">
      <c r="B151" s="166">
        <v>45802</v>
      </c>
      <c r="C151" s="375" t="s">
        <v>231</v>
      </c>
      <c r="D151" s="116"/>
      <c r="E151" s="116"/>
      <c r="G151" s="365"/>
      <c r="H151" s="182"/>
      <c r="I151" s="182"/>
    </row>
    <row r="152" spans="2:10" ht="1.2" hidden="1" customHeight="1" x14ac:dyDescent="0.3">
      <c r="B152" s="166">
        <v>45803</v>
      </c>
      <c r="C152" s="376" t="s">
        <v>232</v>
      </c>
      <c r="D152" s="184">
        <v>7</v>
      </c>
      <c r="E152" s="184"/>
      <c r="F152" s="479" t="s">
        <v>494</v>
      </c>
      <c r="G152" s="365"/>
      <c r="H152" s="182"/>
      <c r="I152" s="182"/>
    </row>
    <row r="153" spans="2:10" ht="1.2" hidden="1" customHeight="1" x14ac:dyDescent="0.3">
      <c r="B153" s="166">
        <v>45804</v>
      </c>
      <c r="C153" s="376" t="s">
        <v>233</v>
      </c>
      <c r="D153" s="184">
        <v>7</v>
      </c>
      <c r="E153" s="184"/>
      <c r="F153" s="479"/>
      <c r="G153" s="365"/>
      <c r="H153" s="182"/>
      <c r="I153" s="182"/>
    </row>
    <row r="154" spans="2:10" ht="1.2" hidden="1" customHeight="1" x14ac:dyDescent="0.3">
      <c r="B154" s="166">
        <v>45805</v>
      </c>
      <c r="C154" s="376" t="s">
        <v>234</v>
      </c>
      <c r="D154" s="184">
        <v>7</v>
      </c>
      <c r="E154" s="184"/>
      <c r="F154" s="479"/>
      <c r="G154" s="365"/>
      <c r="H154" s="182"/>
      <c r="I154" s="182"/>
    </row>
    <row r="155" spans="2:10" ht="1.2" hidden="1" customHeight="1" x14ac:dyDescent="0.3">
      <c r="B155" s="166">
        <v>45806</v>
      </c>
      <c r="C155" s="376" t="s">
        <v>228</v>
      </c>
      <c r="D155" s="184">
        <v>7</v>
      </c>
      <c r="E155" s="184"/>
      <c r="F155" s="479"/>
      <c r="G155" s="365"/>
      <c r="H155" s="182"/>
      <c r="I155" s="182"/>
    </row>
    <row r="156" spans="2:10" ht="1.2" hidden="1" customHeight="1" x14ac:dyDescent="0.3">
      <c r="B156" s="166">
        <v>45807</v>
      </c>
      <c r="C156" s="376" t="s">
        <v>229</v>
      </c>
      <c r="D156" s="184">
        <v>7</v>
      </c>
      <c r="E156" s="184"/>
      <c r="F156" s="479"/>
      <c r="G156" s="365"/>
      <c r="H156" s="182"/>
      <c r="I156" s="182"/>
    </row>
    <row r="157" spans="2:10" ht="1.2" hidden="1" customHeight="1" x14ac:dyDescent="0.3">
      <c r="B157" s="166">
        <v>45808</v>
      </c>
      <c r="C157" s="375" t="s">
        <v>230</v>
      </c>
      <c r="E157" s="116"/>
      <c r="G157" s="365"/>
      <c r="H157" s="182"/>
      <c r="I157" s="182"/>
    </row>
    <row r="158" spans="2:10" ht="1.2" hidden="1" customHeight="1" x14ac:dyDescent="0.3">
      <c r="D158" s="116">
        <f>SUM(D127:D154)</f>
        <v>147</v>
      </c>
      <c r="E158" s="116">
        <f>SUM(E127:E154)</f>
        <v>15</v>
      </c>
      <c r="H158" s="182"/>
      <c r="I158" s="182"/>
      <c r="J158" s="182"/>
    </row>
    <row r="159" spans="2:10" ht="1.2" hidden="1" customHeight="1" x14ac:dyDescent="0.3"/>
    <row r="160" spans="2:10" ht="30.6" customHeight="1" x14ac:dyDescent="0.3">
      <c r="B160" s="7" t="s">
        <v>449</v>
      </c>
    </row>
    <row r="161" spans="2:2" ht="30.6" customHeight="1" x14ac:dyDescent="0.3">
      <c r="B161" s="307"/>
    </row>
    <row r="162" spans="2:2" x14ac:dyDescent="0.3">
      <c r="B162" s="307" t="s">
        <v>486</v>
      </c>
    </row>
    <row r="163" spans="2:2" x14ac:dyDescent="0.3">
      <c r="B163" s="307"/>
    </row>
    <row r="164" spans="2:2" x14ac:dyDescent="0.3">
      <c r="B164" s="307" t="s">
        <v>487</v>
      </c>
    </row>
    <row r="165" spans="2:2" x14ac:dyDescent="0.3">
      <c r="B165" s="307" t="s">
        <v>488</v>
      </c>
    </row>
    <row r="166" spans="2:2" x14ac:dyDescent="0.3">
      <c r="B166" s="307"/>
    </row>
    <row r="167" spans="2:2" x14ac:dyDescent="0.3">
      <c r="B167" s="307"/>
    </row>
    <row r="168" spans="2:2" x14ac:dyDescent="0.3">
      <c r="B168" s="307"/>
    </row>
    <row r="169" spans="2:2" x14ac:dyDescent="0.3">
      <c r="B169" s="307"/>
    </row>
    <row r="170" spans="2:2" x14ac:dyDescent="0.3">
      <c r="B170" s="307"/>
    </row>
    <row r="171" spans="2:2" x14ac:dyDescent="0.3">
      <c r="B171" s="307"/>
    </row>
    <row r="172" spans="2:2" x14ac:dyDescent="0.3">
      <c r="B172" s="307"/>
    </row>
    <row r="173" spans="2:2" x14ac:dyDescent="0.3">
      <c r="B173" s="307"/>
    </row>
    <row r="174" spans="2:2" x14ac:dyDescent="0.3">
      <c r="B174" s="307"/>
    </row>
    <row r="175" spans="2:2" x14ac:dyDescent="0.3">
      <c r="B175" s="307"/>
    </row>
    <row r="176" spans="2:2" x14ac:dyDescent="0.3">
      <c r="B176" s="307"/>
    </row>
    <row r="177" spans="2:6" x14ac:dyDescent="0.3">
      <c r="B177" s="307"/>
      <c r="F177" s="7"/>
    </row>
    <row r="178" spans="2:6" x14ac:dyDescent="0.3">
      <c r="B178" s="307"/>
    </row>
    <row r="179" spans="2:6" x14ac:dyDescent="0.3">
      <c r="B179" s="307"/>
    </row>
    <row r="180" spans="2:6" x14ac:dyDescent="0.3">
      <c r="B180" s="307"/>
    </row>
    <row r="181" spans="2:6" x14ac:dyDescent="0.3">
      <c r="B181" s="307"/>
    </row>
    <row r="182" spans="2:6" x14ac:dyDescent="0.3">
      <c r="B182" s="307"/>
    </row>
    <row r="183" spans="2:6" x14ac:dyDescent="0.3">
      <c r="B183" s="307"/>
    </row>
    <row r="184" spans="2:6" x14ac:dyDescent="0.3">
      <c r="B184" s="307"/>
    </row>
    <row r="185" spans="2:6" x14ac:dyDescent="0.3">
      <c r="B185" s="307"/>
    </row>
    <row r="186" spans="2:6" x14ac:dyDescent="0.3">
      <c r="B186" s="307"/>
    </row>
    <row r="187" spans="2:6" x14ac:dyDescent="0.3">
      <c r="B187" s="307"/>
    </row>
    <row r="188" spans="2:6" x14ac:dyDescent="0.3">
      <c r="B188" s="307"/>
    </row>
    <row r="189" spans="2:6" x14ac:dyDescent="0.3">
      <c r="B189" s="307"/>
    </row>
    <row r="190" spans="2:6" x14ac:dyDescent="0.3">
      <c r="B190" s="307"/>
    </row>
    <row r="191" spans="2:6" x14ac:dyDescent="0.3">
      <c r="B191" s="307"/>
    </row>
  </sheetData>
  <mergeCells count="30">
    <mergeCell ref="F39:G39"/>
    <mergeCell ref="D78:E78"/>
    <mergeCell ref="D88:E88"/>
    <mergeCell ref="D85:G85"/>
    <mergeCell ref="D74:E74"/>
    <mergeCell ref="D68:E68"/>
    <mergeCell ref="D67:E67"/>
    <mergeCell ref="D80:E80"/>
    <mergeCell ref="F83:G83"/>
    <mergeCell ref="D70:E70"/>
    <mergeCell ref="D72:E72"/>
    <mergeCell ref="A1:E1"/>
    <mergeCell ref="B106:B107"/>
    <mergeCell ref="C106:C107"/>
    <mergeCell ref="D115:E116"/>
    <mergeCell ref="B112:D112"/>
    <mergeCell ref="A57:B57"/>
    <mergeCell ref="D62:E62"/>
    <mergeCell ref="D66:E66"/>
    <mergeCell ref="C26:C27"/>
    <mergeCell ref="C57:E57"/>
    <mergeCell ref="D96:I96"/>
    <mergeCell ref="D97:I98"/>
    <mergeCell ref="D99:I101"/>
    <mergeCell ref="F152:F156"/>
    <mergeCell ref="F138:F142"/>
    <mergeCell ref="F145:F149"/>
    <mergeCell ref="F131:F135"/>
    <mergeCell ref="F127:F128"/>
    <mergeCell ref="F115:J115"/>
  </mergeCells>
  <phoneticPr fontId="79" type="noConversion"/>
  <printOptions horizontalCentered="1" verticalCentered="1"/>
  <pageMargins left="0.11811023622047245" right="0.11811023622047245" top="0.15748031496062992" bottom="0.19685039370078741" header="0.31496062992125984" footer="0.31496062992125984"/>
  <pageSetup paperSize="9" scale="75"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2BD65-EBE5-40F9-B818-6447BCCCF80D}">
  <dimension ref="A1:AE155"/>
  <sheetViews>
    <sheetView topLeftCell="A19" zoomScale="120" zoomScaleNormal="120" workbookViewId="0">
      <selection activeCell="K36" sqref="K36"/>
    </sheetView>
  </sheetViews>
  <sheetFormatPr baseColWidth="10" defaultRowHeight="18" x14ac:dyDescent="0.35"/>
  <cols>
    <col min="1" max="1" width="17.5546875" customWidth="1"/>
    <col min="2" max="2" width="18.88671875" style="11" customWidth="1"/>
    <col min="3" max="3" width="19.33203125" style="11" customWidth="1"/>
    <col min="4" max="4" width="14.5546875" customWidth="1"/>
    <col min="5" max="5" width="13.5546875" customWidth="1"/>
    <col min="6" max="6" width="20.6640625" style="17" customWidth="1"/>
    <col min="7" max="7" width="13.77734375" style="17" customWidth="1"/>
    <col min="8" max="8" width="17.21875" style="17" customWidth="1"/>
    <col min="9" max="9" width="14.109375" customWidth="1"/>
    <col min="10" max="10" width="14.33203125" style="1" customWidth="1"/>
    <col min="11" max="11" width="9.21875" bestFit="1" customWidth="1"/>
  </cols>
  <sheetData>
    <row r="1" spans="1:10" s="21" customFormat="1" ht="21" customHeight="1" x14ac:dyDescent="0.25">
      <c r="A1" s="611" t="s">
        <v>175</v>
      </c>
      <c r="B1" s="611"/>
      <c r="C1" s="611"/>
      <c r="D1" s="611"/>
      <c r="E1" s="611"/>
      <c r="F1" s="611"/>
      <c r="G1" s="611"/>
      <c r="H1" s="611"/>
      <c r="I1" s="611"/>
      <c r="J1" s="611"/>
    </row>
    <row r="2" spans="1:10" s="21" customFormat="1" ht="19.8" customHeight="1" x14ac:dyDescent="0.3">
      <c r="A2" s="612" t="s">
        <v>176</v>
      </c>
      <c r="B2" s="613"/>
      <c r="C2" s="613"/>
      <c r="D2" s="614"/>
      <c r="E2" s="156"/>
      <c r="F2" s="615" t="s">
        <v>177</v>
      </c>
      <c r="G2" s="615"/>
      <c r="H2" s="615"/>
      <c r="I2" s="615"/>
      <c r="J2" s="615"/>
    </row>
    <row r="3" spans="1:10" s="21" customFormat="1" ht="19.8" customHeight="1" x14ac:dyDescent="0.25">
      <c r="A3" s="157" t="s">
        <v>178</v>
      </c>
      <c r="B3" s="619" t="str">
        <f>'MASQUE DE SAISIE '!G4</f>
        <v>AGTD</v>
      </c>
      <c r="C3" s="620"/>
      <c r="D3" s="621"/>
      <c r="E3" s="158"/>
      <c r="F3" s="170" t="s">
        <v>178</v>
      </c>
      <c r="G3" s="623" t="str">
        <f>'MASQUE DE SAISIE '!E26</f>
        <v xml:space="preserve">MARTINO </v>
      </c>
      <c r="H3" s="623"/>
      <c r="I3" s="623"/>
      <c r="J3" s="623"/>
    </row>
    <row r="4" spans="1:10" s="21" customFormat="1" ht="15.6" customHeight="1" x14ac:dyDescent="0.25">
      <c r="A4" s="625" t="s">
        <v>179</v>
      </c>
      <c r="B4" s="627" t="str">
        <f>'MASQUE DE SAISIE '!G5</f>
        <v>3 Rue Paul Vaillant Couturier 92700 Colombes</v>
      </c>
      <c r="C4" s="628"/>
      <c r="D4" s="629"/>
      <c r="E4" s="158"/>
      <c r="F4" s="170" t="s">
        <v>180</v>
      </c>
      <c r="G4" s="623" t="str">
        <f>'MASQUE DE SAISIE '!E27</f>
        <v>Rassa</v>
      </c>
      <c r="H4" s="623"/>
      <c r="I4" s="623"/>
      <c r="J4" s="623"/>
    </row>
    <row r="5" spans="1:10" s="21" customFormat="1" ht="15.6" customHeight="1" x14ac:dyDescent="0.25">
      <c r="A5" s="626"/>
      <c r="B5" s="630"/>
      <c r="C5" s="631"/>
      <c r="D5" s="632"/>
      <c r="E5" s="158"/>
      <c r="F5" s="170" t="s">
        <v>181</v>
      </c>
      <c r="G5" s="623" t="str">
        <f>'MASQUE DE SAISIE '!E29</f>
        <v xml:space="preserve"> Ouvrier </v>
      </c>
      <c r="H5" s="623"/>
      <c r="I5" s="405" t="s">
        <v>192</v>
      </c>
      <c r="J5" s="405">
        <f>+'MASQUE DE SAISIE '!E30</f>
        <v>185</v>
      </c>
    </row>
    <row r="6" spans="1:10" s="21" customFormat="1" ht="19.8" customHeight="1" x14ac:dyDescent="0.25">
      <c r="A6" s="157" t="s">
        <v>182</v>
      </c>
      <c r="B6" s="616" t="str">
        <f>'MASQUE DE SAISIE '!G7</f>
        <v>4339Z</v>
      </c>
      <c r="C6" s="617"/>
      <c r="D6" s="618"/>
      <c r="E6" s="158"/>
      <c r="F6" s="170" t="s">
        <v>183</v>
      </c>
      <c r="G6" s="405" t="s">
        <v>184</v>
      </c>
      <c r="H6" s="405">
        <f>+'MASQUE DE SAISIE '!E31</f>
        <v>2</v>
      </c>
      <c r="I6" s="405" t="s">
        <v>185</v>
      </c>
      <c r="J6" s="405" t="str">
        <f>+'MASQUE DE SAISIE '!E32</f>
        <v>-</v>
      </c>
    </row>
    <row r="7" spans="1:10" s="21" customFormat="1" ht="19.8" customHeight="1" x14ac:dyDescent="0.25">
      <c r="A7" s="157" t="s">
        <v>186</v>
      </c>
      <c r="B7" s="619"/>
      <c r="C7" s="620"/>
      <c r="D7" s="621"/>
      <c r="E7" s="158"/>
      <c r="F7" s="170" t="s">
        <v>187</v>
      </c>
      <c r="G7" s="459" t="str">
        <f>+'MASQUE DE SAISIE '!E33</f>
        <v>1.96.02.297.820. 957</v>
      </c>
      <c r="H7" s="459"/>
      <c r="I7" s="459"/>
      <c r="J7" s="459"/>
    </row>
    <row r="8" spans="1:10" s="21" customFormat="1" ht="19.8" customHeight="1" x14ac:dyDescent="0.25">
      <c r="A8" s="157" t="s">
        <v>188</v>
      </c>
      <c r="B8" s="622">
        <f>'MASQUE DE SAISIE '!G9</f>
        <v>9</v>
      </c>
      <c r="C8" s="620"/>
      <c r="D8" s="621"/>
      <c r="E8" s="159"/>
      <c r="F8" s="170" t="s">
        <v>179</v>
      </c>
      <c r="G8" s="623" t="str">
        <f>+'MASQUE DE SAISIE '!E28</f>
        <v>2, Avenue des Fleurs 92700 Colombes</v>
      </c>
      <c r="H8" s="623"/>
      <c r="I8" s="623"/>
      <c r="J8" s="623"/>
    </row>
    <row r="9" spans="1:10" s="21" customFormat="1" ht="28.8" customHeight="1" x14ac:dyDescent="0.25">
      <c r="A9" s="160" t="s">
        <v>162</v>
      </c>
      <c r="B9" s="402">
        <f>+'MASQUE DE SAISIE '!E69</f>
        <v>161.66999999999999</v>
      </c>
      <c r="C9" s="403" t="s">
        <v>42</v>
      </c>
      <c r="D9" s="404">
        <f>+'MASQUE DE SAISIE '!E61</f>
        <v>11.88</v>
      </c>
      <c r="E9" s="158"/>
      <c r="F9" s="624" t="s">
        <v>189</v>
      </c>
      <c r="G9" s="624"/>
      <c r="H9" s="385">
        <f>+'MASQUE DE SAISIE '!E56</f>
        <v>45658</v>
      </c>
      <c r="I9" s="165" t="s">
        <v>190</v>
      </c>
      <c r="J9" s="385">
        <f>+'MASQUE DE SAISIE '!E57</f>
        <v>45688</v>
      </c>
    </row>
    <row r="10" spans="1:10" s="21" customFormat="1" ht="40.799999999999997" customHeight="1" x14ac:dyDescent="0.25">
      <c r="A10" s="157" t="s">
        <v>193</v>
      </c>
      <c r="B10" s="633" t="str">
        <f>+'MASQUE DE SAISIE '!G8</f>
        <v xml:space="preserve">Convention collective nationale concernant les ouvriers employés par les entreprises du bâtiment visées par le décret du 1er mars 1962 - c'est-à-dire occupant jusqu'à 10 salariés — IDCC 1596 </v>
      </c>
      <c r="C10" s="634"/>
      <c r="D10" s="635"/>
      <c r="E10" s="162"/>
      <c r="F10" s="164" t="s">
        <v>191</v>
      </c>
      <c r="G10" s="406">
        <f>+'MASQUE DE SAISIE '!E58</f>
        <v>45688</v>
      </c>
      <c r="H10" s="116"/>
      <c r="I10" s="116"/>
      <c r="J10" s="116"/>
    </row>
    <row r="11" spans="1:10" s="21" customFormat="1" ht="37.799999999999997" customHeight="1" x14ac:dyDescent="0.25">
      <c r="A11" s="619" t="s">
        <v>194</v>
      </c>
      <c r="B11" s="620"/>
      <c r="C11" s="620"/>
      <c r="D11" s="620"/>
      <c r="E11" s="620"/>
      <c r="F11" s="621"/>
      <c r="G11" s="448">
        <f>'MASQUE DE SAISIE '!E60</f>
        <v>151.66999999999999</v>
      </c>
      <c r="H11" s="161" t="s">
        <v>195</v>
      </c>
      <c r="I11" s="353">
        <f>J11/G11</f>
        <v>12.368958923979694</v>
      </c>
      <c r="J11" s="167">
        <f>+' ENONCE ET CORRIGE '!C66</f>
        <v>1876</v>
      </c>
    </row>
    <row r="12" spans="1:10" s="21" customFormat="1" ht="57" hidden="1" customHeight="1" x14ac:dyDescent="0.25">
      <c r="A12" s="619" t="s">
        <v>196</v>
      </c>
      <c r="B12" s="620"/>
      <c r="C12" s="620"/>
      <c r="D12" s="620"/>
      <c r="E12" s="620"/>
      <c r="F12" s="621"/>
      <c r="G12" s="449"/>
      <c r="H12" s="161"/>
      <c r="I12" s="163"/>
      <c r="J12" s="167"/>
    </row>
    <row r="13" spans="1:10" s="21" customFormat="1" ht="57" hidden="1" customHeight="1" x14ac:dyDescent="0.25">
      <c r="A13" s="619" t="s">
        <v>197</v>
      </c>
      <c r="B13" s="620"/>
      <c r="C13" s="620"/>
      <c r="D13" s="620"/>
      <c r="E13" s="620"/>
      <c r="F13" s="621"/>
      <c r="G13" s="449"/>
      <c r="H13" s="161"/>
      <c r="I13" s="163"/>
      <c r="J13" s="167"/>
    </row>
    <row r="14" spans="1:10" s="21" customFormat="1" ht="57" hidden="1" customHeight="1" x14ac:dyDescent="0.25">
      <c r="A14" s="619" t="s">
        <v>198</v>
      </c>
      <c r="B14" s="620"/>
      <c r="C14" s="620"/>
      <c r="D14" s="620"/>
      <c r="E14" s="620"/>
      <c r="F14" s="621"/>
      <c r="G14" s="449"/>
      <c r="H14" s="161"/>
      <c r="I14" s="163"/>
      <c r="J14" s="167"/>
    </row>
    <row r="15" spans="1:10" s="21" customFormat="1" ht="57" hidden="1" customHeight="1" x14ac:dyDescent="0.25">
      <c r="A15" s="619" t="s">
        <v>199</v>
      </c>
      <c r="B15" s="620"/>
      <c r="C15" s="620"/>
      <c r="D15" s="620"/>
      <c r="E15" s="620"/>
      <c r="F15" s="621"/>
      <c r="G15" s="449"/>
      <c r="H15" s="161" t="s">
        <v>195</v>
      </c>
      <c r="I15" s="163"/>
      <c r="J15" s="167"/>
    </row>
    <row r="16" spans="1:10" s="21" customFormat="1" ht="57" hidden="1" customHeight="1" x14ac:dyDescent="0.25">
      <c r="A16" s="619" t="s">
        <v>200</v>
      </c>
      <c r="B16" s="620"/>
      <c r="C16" s="620"/>
      <c r="D16" s="620"/>
      <c r="E16" s="620"/>
      <c r="F16" s="621"/>
      <c r="G16" s="450">
        <f>'MASQUE DE SAISIE '!E63</f>
        <v>0</v>
      </c>
      <c r="H16" s="161" t="s">
        <v>195</v>
      </c>
      <c r="I16" s="163">
        <f>+I11*1.1</f>
        <v>13.605854816377665</v>
      </c>
      <c r="J16" s="167">
        <f t="shared" ref="J16:J20" si="0">ROUND(G16*I16,2)</f>
        <v>0</v>
      </c>
    </row>
    <row r="17" spans="1:10" s="21" customFormat="1" ht="57" hidden="1" customHeight="1" x14ac:dyDescent="0.25">
      <c r="A17" s="619" t="s">
        <v>201</v>
      </c>
      <c r="B17" s="620"/>
      <c r="C17" s="620"/>
      <c r="D17" s="620"/>
      <c r="E17" s="620"/>
      <c r="F17" s="621"/>
      <c r="G17" s="448"/>
      <c r="H17" s="161" t="s">
        <v>195</v>
      </c>
      <c r="I17" s="163">
        <f>J11*1.25/G11</f>
        <v>15.461198654974618</v>
      </c>
      <c r="J17" s="167">
        <f t="shared" si="0"/>
        <v>0</v>
      </c>
    </row>
    <row r="18" spans="1:10" s="21" customFormat="1" ht="57" hidden="1" customHeight="1" x14ac:dyDescent="0.25">
      <c r="A18" s="619" t="s">
        <v>202</v>
      </c>
      <c r="B18" s="620"/>
      <c r="C18" s="620"/>
      <c r="D18" s="620"/>
      <c r="E18" s="620"/>
      <c r="F18" s="621"/>
      <c r="G18" s="450">
        <f>'MASQUE DE SAISIE '!E65</f>
        <v>0</v>
      </c>
      <c r="H18" s="161" t="s">
        <v>195</v>
      </c>
      <c r="I18" s="163"/>
      <c r="J18" s="167">
        <f t="shared" si="0"/>
        <v>0</v>
      </c>
    </row>
    <row r="19" spans="1:10" s="21" customFormat="1" ht="19.2" customHeight="1" x14ac:dyDescent="0.25">
      <c r="A19" s="619" t="s">
        <v>203</v>
      </c>
      <c r="B19" s="620"/>
      <c r="C19" s="620"/>
      <c r="D19" s="620"/>
      <c r="E19" s="620"/>
      <c r="F19" s="621"/>
      <c r="G19" s="450">
        <f>+'MASQUE DE SAISIE '!E66</f>
        <v>10</v>
      </c>
      <c r="H19" s="161" t="s">
        <v>195</v>
      </c>
      <c r="I19" s="381">
        <f>ROUND(((J11+J14)*1.25/G11),6)</f>
        <v>15.461199000000001</v>
      </c>
      <c r="J19" s="167">
        <f t="shared" si="0"/>
        <v>154.61000000000001</v>
      </c>
    </row>
    <row r="20" spans="1:10" s="21" customFormat="1" ht="57" hidden="1" customHeight="1" x14ac:dyDescent="0.25">
      <c r="A20" s="619" t="s">
        <v>204</v>
      </c>
      <c r="B20" s="620"/>
      <c r="C20" s="620"/>
      <c r="D20" s="620"/>
      <c r="E20" s="620"/>
      <c r="F20" s="621"/>
      <c r="G20" s="450">
        <f>'MASQUE DE SAISIE '!E67</f>
        <v>0</v>
      </c>
      <c r="H20" s="161" t="s">
        <v>205</v>
      </c>
      <c r="I20" s="381">
        <f>ROUND(((J11+J14)*1.5/G11),6)</f>
        <v>18.553438</v>
      </c>
      <c r="J20" s="167">
        <f t="shared" si="0"/>
        <v>0</v>
      </c>
    </row>
    <row r="21" spans="1:10" s="21" customFormat="1" ht="57" hidden="1" customHeight="1" x14ac:dyDescent="0.25">
      <c r="A21" s="619" t="s">
        <v>457</v>
      </c>
      <c r="B21" s="620"/>
      <c r="C21" s="620"/>
      <c r="D21" s="620"/>
      <c r="E21" s="620"/>
      <c r="F21" s="621"/>
      <c r="G21" s="449"/>
      <c r="H21" s="161" t="s">
        <v>205</v>
      </c>
      <c r="I21" s="161"/>
      <c r="J21" s="355">
        <f>-' ENONCE ET CORRIGE '!C74</f>
        <v>0</v>
      </c>
    </row>
    <row r="22" spans="1:10" s="21" customFormat="1" ht="57" hidden="1" customHeight="1" x14ac:dyDescent="0.25">
      <c r="A22" s="619" t="s">
        <v>473</v>
      </c>
      <c r="B22" s="620"/>
      <c r="C22" s="620"/>
      <c r="D22" s="620"/>
      <c r="E22" s="620"/>
      <c r="F22" s="621"/>
      <c r="G22" s="449"/>
      <c r="H22" s="161" t="s">
        <v>205</v>
      </c>
      <c r="I22" s="161"/>
      <c r="J22" s="167">
        <f>' ENONCE ET CORRIGE '!C106</f>
        <v>0</v>
      </c>
    </row>
    <row r="23" spans="1:10" s="21" customFormat="1" ht="57" hidden="1" customHeight="1" x14ac:dyDescent="0.25">
      <c r="A23" s="619" t="s">
        <v>358</v>
      </c>
      <c r="B23" s="620"/>
      <c r="C23" s="620"/>
      <c r="D23" s="620"/>
      <c r="E23" s="620"/>
      <c r="F23" s="621"/>
      <c r="G23" s="449"/>
      <c r="H23" s="161" t="s">
        <v>205</v>
      </c>
      <c r="I23" s="161"/>
      <c r="J23" s="356"/>
    </row>
    <row r="24" spans="1:10" s="21" customFormat="1" ht="57" hidden="1" customHeight="1" x14ac:dyDescent="0.25">
      <c r="A24" s="619" t="s">
        <v>393</v>
      </c>
      <c r="B24" s="620"/>
      <c r="C24" s="620"/>
      <c r="D24" s="620"/>
      <c r="E24" s="620"/>
      <c r="F24" s="621"/>
      <c r="G24" s="449"/>
      <c r="H24" s="161" t="s">
        <v>205</v>
      </c>
      <c r="I24" s="161"/>
      <c r="J24" s="167"/>
    </row>
    <row r="25" spans="1:10" s="21" customFormat="1" ht="57" hidden="1" customHeight="1" x14ac:dyDescent="0.25">
      <c r="A25" s="619" t="s">
        <v>206</v>
      </c>
      <c r="B25" s="620"/>
      <c r="C25" s="620"/>
      <c r="D25" s="620"/>
      <c r="E25" s="620"/>
      <c r="F25" s="621"/>
      <c r="G25" s="449"/>
      <c r="H25" s="161" t="s">
        <v>205</v>
      </c>
      <c r="I25" s="161"/>
      <c r="J25" s="167"/>
    </row>
    <row r="26" spans="1:10" s="21" customFormat="1" ht="57" hidden="1" customHeight="1" x14ac:dyDescent="0.25">
      <c r="A26" s="619" t="s">
        <v>458</v>
      </c>
      <c r="B26" s="620"/>
      <c r="C26" s="620"/>
      <c r="D26" s="620"/>
      <c r="E26" s="620"/>
      <c r="F26" s="621"/>
      <c r="G26" s="449"/>
      <c r="H26" s="161" t="s">
        <v>205</v>
      </c>
      <c r="I26" s="161"/>
      <c r="J26" s="167"/>
    </row>
    <row r="27" spans="1:10" s="21" customFormat="1" ht="57" hidden="1" customHeight="1" x14ac:dyDescent="0.25">
      <c r="A27" s="619"/>
      <c r="B27" s="620"/>
      <c r="C27" s="620"/>
      <c r="D27" s="620"/>
      <c r="E27" s="620"/>
      <c r="F27" s="621"/>
      <c r="G27" s="449"/>
      <c r="H27" s="161" t="s">
        <v>205</v>
      </c>
      <c r="I27" s="161"/>
      <c r="J27" s="167"/>
    </row>
    <row r="28" spans="1:10" s="21" customFormat="1" ht="57" hidden="1" customHeight="1" x14ac:dyDescent="0.25">
      <c r="A28" s="619" t="s">
        <v>207</v>
      </c>
      <c r="B28" s="620"/>
      <c r="C28" s="620"/>
      <c r="D28" s="620"/>
      <c r="E28" s="620"/>
      <c r="F28" s="621"/>
      <c r="G28" s="449"/>
      <c r="H28" s="161" t="s">
        <v>205</v>
      </c>
      <c r="I28" s="161"/>
      <c r="J28" s="167"/>
    </row>
    <row r="29" spans="1:10" s="21" customFormat="1" ht="27.6" customHeight="1" x14ac:dyDescent="0.25">
      <c r="A29" s="619" t="s">
        <v>209</v>
      </c>
      <c r="B29" s="620"/>
      <c r="C29" s="620"/>
      <c r="D29" s="620"/>
      <c r="E29" s="620"/>
      <c r="F29" s="621"/>
      <c r="G29" s="451">
        <f>' ENONCE ET CORRIGE '!C81</f>
        <v>22</v>
      </c>
      <c r="H29" s="161" t="s">
        <v>205</v>
      </c>
      <c r="I29" s="161">
        <f>' ENONCE ET CORRIGE '!C82</f>
        <v>5.36</v>
      </c>
      <c r="J29" s="167">
        <f>+' ENONCE ET CORRIGE '!C83</f>
        <v>117.92</v>
      </c>
    </row>
    <row r="30" spans="1:10" s="21" customFormat="1" ht="23.4" customHeight="1" x14ac:dyDescent="0.25">
      <c r="A30" s="638" t="s">
        <v>537</v>
      </c>
      <c r="B30" s="639"/>
      <c r="C30" s="639"/>
      <c r="D30" s="639"/>
      <c r="E30" s="639"/>
      <c r="F30" s="640"/>
      <c r="G30" s="452">
        <f>+' ENONCE ET CORRIGE '!E81</f>
        <v>22</v>
      </c>
      <c r="H30" s="161" t="s">
        <v>205</v>
      </c>
      <c r="I30" s="167">
        <f>+' ENONCE ET CORRIGE '!E82</f>
        <v>1.3</v>
      </c>
      <c r="J30" s="167">
        <f>+' ENONCE ET CORRIGE '!E83</f>
        <v>28.6</v>
      </c>
    </row>
    <row r="31" spans="1:10" s="21" customFormat="1" ht="22.2" customHeight="1" x14ac:dyDescent="0.25">
      <c r="A31" s="638" t="s">
        <v>538</v>
      </c>
      <c r="B31" s="639"/>
      <c r="C31" s="639"/>
      <c r="D31" s="639"/>
      <c r="E31" s="639"/>
      <c r="F31" s="640"/>
      <c r="G31" s="451">
        <f>' ENONCE ET CORRIGE '!D81</f>
        <v>22</v>
      </c>
      <c r="H31" s="161" t="s">
        <v>205</v>
      </c>
      <c r="I31" s="161">
        <f>' ENONCE ET CORRIGE '!D82</f>
        <v>10.3</v>
      </c>
      <c r="J31" s="167">
        <f>' ENONCE ET CORRIGE '!D83</f>
        <v>226.60000000000002</v>
      </c>
    </row>
    <row r="32" spans="1:10" s="21" customFormat="1" ht="23.4" hidden="1" customHeight="1" x14ac:dyDescent="0.25">
      <c r="A32" s="619" t="s">
        <v>225</v>
      </c>
      <c r="B32" s="620"/>
      <c r="C32" s="620"/>
      <c r="D32" s="620"/>
      <c r="E32" s="620"/>
      <c r="F32" s="621"/>
      <c r="G32" s="161"/>
      <c r="H32" s="161"/>
      <c r="I32" s="161"/>
      <c r="J32" s="167"/>
    </row>
    <row r="33" spans="1:17" s="21" customFormat="1" ht="23.4" customHeight="1" x14ac:dyDescent="0.25">
      <c r="A33" s="619" t="s">
        <v>6</v>
      </c>
      <c r="B33" s="620"/>
      <c r="C33" s="620"/>
      <c r="D33" s="620"/>
      <c r="E33" s="620"/>
      <c r="F33" s="621"/>
      <c r="G33" s="161"/>
      <c r="H33" s="161"/>
      <c r="I33" s="161"/>
      <c r="J33" s="167">
        <f>' ENONCE ET CORRIGE '!D45</f>
        <v>2000</v>
      </c>
    </row>
    <row r="34" spans="1:17" s="21" customFormat="1" ht="25.2" customHeight="1" x14ac:dyDescent="0.25">
      <c r="A34" s="641" t="s">
        <v>210</v>
      </c>
      <c r="B34" s="642"/>
      <c r="C34" s="642"/>
      <c r="D34" s="642"/>
      <c r="E34" s="642"/>
      <c r="F34" s="643"/>
      <c r="G34" s="161"/>
      <c r="H34" s="168"/>
      <c r="I34" s="161"/>
      <c r="J34" s="167">
        <f>SUM(J11:J33)</f>
        <v>4403.7299999999996</v>
      </c>
      <c r="L34" s="305"/>
    </row>
    <row r="35" spans="1:17" s="21" customFormat="1" ht="29.4" customHeight="1" x14ac:dyDescent="0.25">
      <c r="A35" s="644" t="s">
        <v>208</v>
      </c>
      <c r="B35" s="644"/>
      <c r="C35" s="384">
        <f>'MASQUE DE SAISIE '!E62</f>
        <v>3925.0000000000005</v>
      </c>
      <c r="D35" s="645" t="s">
        <v>24</v>
      </c>
      <c r="E35" s="645"/>
      <c r="F35" s="645"/>
      <c r="G35" s="645"/>
      <c r="H35" s="645"/>
      <c r="I35" s="645"/>
      <c r="J35" s="169">
        <f>ROUND(J34*(1-'MASQUE DE SAISIE '!G16),2)</f>
        <v>4051.43</v>
      </c>
    </row>
    <row r="36" spans="1:17" s="20" customFormat="1" ht="32.4" customHeight="1" x14ac:dyDescent="0.35">
      <c r="A36" s="731" t="s">
        <v>64</v>
      </c>
      <c r="B36" s="732"/>
      <c r="C36" s="732"/>
      <c r="D36" s="733"/>
      <c r="E36" s="636" t="s">
        <v>8</v>
      </c>
      <c r="F36" s="637"/>
      <c r="G36" s="18" t="s">
        <v>163</v>
      </c>
      <c r="H36" s="33" t="s">
        <v>164</v>
      </c>
      <c r="I36" s="18" t="s">
        <v>95</v>
      </c>
      <c r="J36" s="33" t="s">
        <v>96</v>
      </c>
    </row>
    <row r="37" spans="1:17" s="21" customFormat="1" ht="32.4" customHeight="1" x14ac:dyDescent="0.25">
      <c r="A37" s="730" t="s">
        <v>70</v>
      </c>
      <c r="B37" s="730"/>
      <c r="C37" s="730"/>
      <c r="D37" s="730"/>
      <c r="E37" s="29"/>
      <c r="F37" s="14"/>
      <c r="G37" s="29"/>
      <c r="H37" s="29"/>
      <c r="I37" s="30"/>
      <c r="J37" s="129"/>
    </row>
    <row r="38" spans="1:17" s="21" customFormat="1" ht="35.4" customHeight="1" x14ac:dyDescent="0.25">
      <c r="A38" s="648" t="s">
        <v>71</v>
      </c>
      <c r="B38" s="648"/>
      <c r="C38" s="648"/>
      <c r="D38" s="649"/>
      <c r="E38" s="607">
        <f>IF('MASQUE DE SAISIE '!G15=1,J35,J34)</f>
        <v>4051.43</v>
      </c>
      <c r="F38" s="608"/>
      <c r="G38" s="118"/>
      <c r="H38" s="119">
        <f>'TABLE DES TAUX 2025'!D3</f>
        <v>7.0000000000000007E-2</v>
      </c>
      <c r="I38" s="120"/>
      <c r="J38" s="117">
        <f>ROUND(E38*H38,2)</f>
        <v>283.60000000000002</v>
      </c>
    </row>
    <row r="39" spans="1:17" s="21" customFormat="1" ht="35.4" hidden="1" customHeight="1" x14ac:dyDescent="0.25">
      <c r="A39" s="648" t="s">
        <v>72</v>
      </c>
      <c r="B39" s="648"/>
      <c r="C39" s="648"/>
      <c r="D39" s="649"/>
      <c r="E39" s="609">
        <f>IF('MASQUE DE SAISIE '!G15=1,IF(J35&gt;2.25*'MASQUE DE SAISIE '!E69*'MASQUE DE SAISIE '!E61,J35,0),IF(J34&gt;2.25*'MASQUE DE SAISIE '!E61*'MASQUE DE SAISIE '!E69,J34,0))</f>
        <v>0</v>
      </c>
      <c r="F39" s="610"/>
      <c r="G39" s="118"/>
      <c r="H39" s="118">
        <f>'TABLE DES TAUX 2025'!D4</f>
        <v>0.06</v>
      </c>
      <c r="I39" s="120"/>
      <c r="J39" s="117">
        <f t="shared" ref="J39:J74" si="1">ROUND(E39*H39,2)</f>
        <v>0</v>
      </c>
    </row>
    <row r="40" spans="1:17" s="21" customFormat="1" ht="36" customHeight="1" x14ac:dyDescent="0.25">
      <c r="A40" s="648" t="s">
        <v>73</v>
      </c>
      <c r="B40" s="648"/>
      <c r="C40" s="648"/>
      <c r="D40" s="649"/>
      <c r="E40" s="607">
        <f>'MASQUE DE SAISIE '!E12</f>
        <v>100</v>
      </c>
      <c r="F40" s="608"/>
      <c r="G40" s="121">
        <f>'MASQUE DE SAISIE '!G12</f>
        <v>0.5</v>
      </c>
      <c r="H40" s="121">
        <f>'MASQUE DE SAISIE '!H12</f>
        <v>0.5</v>
      </c>
      <c r="I40" s="120">
        <f t="shared" ref="I40:I74" si="2">ROUND(E40*G40,2)</f>
        <v>50</v>
      </c>
      <c r="J40" s="117">
        <f t="shared" si="1"/>
        <v>50</v>
      </c>
    </row>
    <row r="41" spans="1:17" s="21" customFormat="1" ht="24" customHeight="1" x14ac:dyDescent="0.25">
      <c r="A41" s="653" t="s">
        <v>74</v>
      </c>
      <c r="B41" s="653"/>
      <c r="C41" s="653"/>
      <c r="D41" s="654"/>
      <c r="E41" s="607">
        <f>IF('MASQUE DE SAISIE '!G15=1,J35,J34)</f>
        <v>4051.43</v>
      </c>
      <c r="F41" s="608"/>
      <c r="G41" s="118"/>
      <c r="H41" s="118">
        <f>+'MASQUE DE SAISIE '!H21</f>
        <v>4.02E-2</v>
      </c>
      <c r="I41" s="120"/>
      <c r="J41" s="117">
        <f t="shared" si="1"/>
        <v>162.87</v>
      </c>
      <c r="L41" s="652"/>
    </row>
    <row r="42" spans="1:17" s="21" customFormat="1" ht="24" customHeight="1" x14ac:dyDescent="0.25">
      <c r="A42" s="653" t="s">
        <v>75</v>
      </c>
      <c r="B42" s="653"/>
      <c r="C42" s="653"/>
      <c r="D42" s="654"/>
      <c r="E42" s="607"/>
      <c r="F42" s="608"/>
      <c r="G42" s="118"/>
      <c r="H42" s="118"/>
      <c r="I42" s="120"/>
      <c r="J42" s="117"/>
      <c r="L42" s="652"/>
    </row>
    <row r="43" spans="1:17" s="21" customFormat="1" ht="24" customHeight="1" x14ac:dyDescent="0.25">
      <c r="A43" s="648" t="s">
        <v>76</v>
      </c>
      <c r="B43" s="648"/>
      <c r="C43" s="648"/>
      <c r="D43" s="649"/>
      <c r="E43" s="607">
        <f>IF('MASQUE DE SAISIE '!G15=1,IF(J35&gt;C35,C35,J35),IF(J34&gt;C35,C35,J34))</f>
        <v>3925.0000000000005</v>
      </c>
      <c r="F43" s="608"/>
      <c r="G43" s="118">
        <f>VLOOKUP(A43,TAUX2023,3,FALSE)</f>
        <v>6.9000000000000006E-2</v>
      </c>
      <c r="H43" s="118">
        <f>VLOOKUP(A43,TAUX2023,4,FALSE)</f>
        <v>8.5500000000000007E-2</v>
      </c>
      <c r="I43" s="120">
        <f t="shared" si="2"/>
        <v>270.83</v>
      </c>
      <c r="J43" s="117">
        <f t="shared" si="1"/>
        <v>335.59</v>
      </c>
    </row>
    <row r="44" spans="1:17" s="21" customFormat="1" ht="24" customHeight="1" x14ac:dyDescent="0.25">
      <c r="A44" s="648" t="s">
        <v>77</v>
      </c>
      <c r="B44" s="648"/>
      <c r="C44" s="648"/>
      <c r="D44" s="649"/>
      <c r="E44" s="607">
        <f>IF('MASQUE DE SAISIE '!G15=1,J35,J34)</f>
        <v>4051.43</v>
      </c>
      <c r="F44" s="608"/>
      <c r="G44" s="118">
        <f>VLOOKUP(A44,TAUX2023,3,FALSE)</f>
        <v>4.0000000000000001E-3</v>
      </c>
      <c r="H44" s="118">
        <f>VLOOKUP(A44,TAUX2023,4,FALSE)</f>
        <v>2.0199999999999999E-2</v>
      </c>
      <c r="I44" s="120">
        <f t="shared" si="2"/>
        <v>16.21</v>
      </c>
      <c r="J44" s="117">
        <f t="shared" si="1"/>
        <v>81.84</v>
      </c>
    </row>
    <row r="45" spans="1:17" s="21" customFormat="1" ht="22.8" customHeight="1" x14ac:dyDescent="0.25">
      <c r="A45" s="648" t="s">
        <v>78</v>
      </c>
      <c r="B45" s="648"/>
      <c r="C45" s="648"/>
      <c r="D45" s="649"/>
      <c r="E45" s="607">
        <f>E43</f>
        <v>3925.0000000000005</v>
      </c>
      <c r="F45" s="608"/>
      <c r="G45" s="122">
        <f>IF(J35&lt;C35,'TABLE DES TAUX 2025'!B72,'TABLE DES TAUX 2025'!D72)</f>
        <v>4.1499999999999995E-2</v>
      </c>
      <c r="H45" s="122">
        <f>IF(J35&lt;C35,'TABLE DES TAUX 2025'!C72,'TABLE DES TAUX 2025'!E72)</f>
        <v>6.2199999999999998E-2</v>
      </c>
      <c r="I45" s="120">
        <f t="shared" si="2"/>
        <v>162.88999999999999</v>
      </c>
      <c r="J45" s="117">
        <f t="shared" si="1"/>
        <v>244.14</v>
      </c>
      <c r="K45" s="24"/>
      <c r="M45" s="646"/>
      <c r="N45" s="646"/>
      <c r="O45" s="646"/>
    </row>
    <row r="46" spans="1:17" s="21" customFormat="1" ht="25.8" customHeight="1" x14ac:dyDescent="0.25">
      <c r="A46" s="648" t="s">
        <v>79</v>
      </c>
      <c r="B46" s="648"/>
      <c r="C46" s="648"/>
      <c r="D46" s="649"/>
      <c r="E46" s="609">
        <f>IF('MASQUE DE SAISIE '!G15=1,IF(J35&gt;8*C35,7*C35,IF(J35&gt;C35,J35-C35,0)),IF(J34&gt;8*C35,7*C35,IF(J34&gt;C35,J34-C35,0)))</f>
        <v>126.42999999999938</v>
      </c>
      <c r="F46" s="610"/>
      <c r="G46" s="122">
        <f>'TABLE DES TAUX 2025'!D78</f>
        <v>9.8600000000000007E-2</v>
      </c>
      <c r="H46" s="123">
        <f>'TABLE DES TAUX 2025'!E78</f>
        <v>0.14779999999999999</v>
      </c>
      <c r="I46" s="120">
        <f t="shared" si="2"/>
        <v>12.47</v>
      </c>
      <c r="J46" s="117">
        <f t="shared" si="1"/>
        <v>18.690000000000001</v>
      </c>
      <c r="K46" s="24"/>
      <c r="M46" s="647"/>
      <c r="N46" s="647"/>
      <c r="O46" s="25"/>
      <c r="P46" s="26"/>
      <c r="Q46" s="25"/>
    </row>
    <row r="47" spans="1:17" ht="24" customHeight="1" x14ac:dyDescent="0.3">
      <c r="A47" s="650" t="s">
        <v>80</v>
      </c>
      <c r="B47" s="650"/>
      <c r="C47" s="650"/>
      <c r="D47" s="651"/>
      <c r="E47" s="607"/>
      <c r="F47" s="608"/>
      <c r="G47"/>
      <c r="H47"/>
      <c r="I47" s="120"/>
      <c r="J47" s="117">
        <f t="shared" si="1"/>
        <v>0</v>
      </c>
    </row>
    <row r="48" spans="1:17" ht="22.8" customHeight="1" x14ac:dyDescent="0.3">
      <c r="A48" s="648" t="s">
        <v>81</v>
      </c>
      <c r="B48" s="648"/>
      <c r="C48" s="648"/>
      <c r="D48" s="649"/>
      <c r="E48" s="607">
        <f>E38</f>
        <v>4051.43</v>
      </c>
      <c r="F48" s="608"/>
      <c r="G48" s="118"/>
      <c r="H48" s="124">
        <f>VLOOKUP(A48,TAUX2023,4,FALSE)</f>
        <v>3.4500000000000003E-2</v>
      </c>
      <c r="I48" s="120"/>
      <c r="J48" s="117">
        <f t="shared" si="1"/>
        <v>139.77000000000001</v>
      </c>
    </row>
    <row r="49" spans="1:10" ht="24" hidden="1" customHeight="1" x14ac:dyDescent="0.3">
      <c r="A49" s="648" t="s">
        <v>82</v>
      </c>
      <c r="B49" s="648"/>
      <c r="C49" s="648"/>
      <c r="D49" s="649"/>
      <c r="E49" s="131">
        <f>IF('MASQUE DE SAISIE '!G15=1,IF(J35&gt;3.3*'MASQUE DE SAISIE '!E61*'MASQUE DE SAISIE '!E69,'BP CORRECTION  '!J35,0),IF('BP CORRECTION  '!J34&gt;3.3*'MASQUE DE SAISIE '!E61*'MASQUE DE SAISIE '!E69,'BP CORRECTION  '!J34,0))</f>
        <v>0</v>
      </c>
      <c r="F49" s="2"/>
      <c r="G49" s="118"/>
      <c r="H49" s="189">
        <f>'TABLE DES TAUX 2025'!D11</f>
        <v>1.7999999999999999E-2</v>
      </c>
      <c r="I49" s="120"/>
      <c r="J49" s="117">
        <f t="shared" si="1"/>
        <v>0</v>
      </c>
    </row>
    <row r="50" spans="1:10" ht="24" customHeight="1" x14ac:dyDescent="0.35">
      <c r="A50" s="726" t="s">
        <v>83</v>
      </c>
      <c r="B50" s="726"/>
      <c r="C50" s="726"/>
      <c r="D50" s="727"/>
      <c r="E50" s="607"/>
      <c r="F50" s="608"/>
      <c r="G50" s="132"/>
      <c r="I50" s="120"/>
      <c r="J50" s="117"/>
    </row>
    <row r="51" spans="1:10" ht="24" customHeight="1" x14ac:dyDescent="0.35">
      <c r="A51" s="648" t="s">
        <v>84</v>
      </c>
      <c r="B51" s="648"/>
      <c r="C51" s="648"/>
      <c r="D51" s="649"/>
      <c r="E51" s="607">
        <f>IF('MASQUE DE SAISIE '!G15=1,IF(J35&gt;4*C35,4*C35,J35),IF(J34&gt;4*C35,4*C35,J34))</f>
        <v>4051.43</v>
      </c>
      <c r="F51" s="608"/>
      <c r="H51" s="352">
        <f>IF(H9&gt;=45778,4%,4.05%)+'TABLE DES TAUX 2025'!D14</f>
        <v>4.3000000000000003E-2</v>
      </c>
      <c r="I51" s="120"/>
      <c r="J51" s="117">
        <f t="shared" si="1"/>
        <v>174.21</v>
      </c>
    </row>
    <row r="52" spans="1:10" ht="24" customHeight="1" x14ac:dyDescent="0.3">
      <c r="A52" s="726" t="s">
        <v>86</v>
      </c>
      <c r="B52" s="726"/>
      <c r="C52" s="726"/>
      <c r="D52" s="727"/>
      <c r="E52" s="607"/>
      <c r="F52" s="608"/>
      <c r="G52" s="133"/>
      <c r="H52" s="125"/>
      <c r="I52" s="120"/>
      <c r="J52" s="329">
        <f>I111</f>
        <v>59.05</v>
      </c>
    </row>
    <row r="53" spans="1:10" ht="30.6" customHeight="1" x14ac:dyDescent="0.3">
      <c r="A53" s="726" t="s">
        <v>90</v>
      </c>
      <c r="B53" s="726"/>
      <c r="C53" s="726"/>
      <c r="D53" s="727"/>
      <c r="E53" s="607"/>
      <c r="F53" s="608"/>
      <c r="G53" s="125"/>
      <c r="H53" s="125"/>
      <c r="I53" s="120"/>
      <c r="J53" s="117">
        <f t="shared" si="1"/>
        <v>0</v>
      </c>
    </row>
    <row r="54" spans="1:10" ht="5.4" hidden="1" customHeight="1" x14ac:dyDescent="0.3">
      <c r="A54" s="728" t="s">
        <v>54</v>
      </c>
      <c r="B54" s="728"/>
      <c r="C54" s="728"/>
      <c r="D54" s="729"/>
      <c r="E54" s="130">
        <f>IF('MASQUE DE SAISIE '!G9&gt;50,IF('MASQUE DE SAISIE '!G15=1,J35,J34),0)</f>
        <v>0</v>
      </c>
      <c r="F54" s="340" t="s">
        <v>21</v>
      </c>
      <c r="G54" s="18"/>
      <c r="H54" s="19">
        <v>6.7999999999999996E-3</v>
      </c>
      <c r="I54" s="120">
        <f t="shared" si="2"/>
        <v>0</v>
      </c>
      <c r="J54" s="117">
        <f t="shared" si="1"/>
        <v>0</v>
      </c>
    </row>
    <row r="55" spans="1:10" ht="5.4" hidden="1" customHeight="1" x14ac:dyDescent="0.3">
      <c r="A55" s="728" t="s">
        <v>52</v>
      </c>
      <c r="B55" s="728"/>
      <c r="C55" s="728"/>
      <c r="D55" s="729"/>
      <c r="E55" s="130">
        <f>IF('MASQUE DE SAISIE '!G9&gt;50,J34-J33-J32-J29,0)</f>
        <v>0</v>
      </c>
      <c r="F55" s="340" t="s">
        <v>55</v>
      </c>
      <c r="G55" s="18"/>
      <c r="H55" s="19">
        <v>0.20200000000000001</v>
      </c>
      <c r="I55" s="120">
        <f t="shared" si="2"/>
        <v>0</v>
      </c>
      <c r="J55" s="117">
        <f t="shared" si="1"/>
        <v>0</v>
      </c>
    </row>
    <row r="56" spans="1:10" ht="5.4" hidden="1" customHeight="1" x14ac:dyDescent="0.3">
      <c r="A56" s="728" t="s">
        <v>53</v>
      </c>
      <c r="B56" s="728"/>
      <c r="C56" s="728"/>
      <c r="D56" s="729"/>
      <c r="E56" s="130"/>
      <c r="F56" s="340" t="s">
        <v>403</v>
      </c>
      <c r="G56" s="18"/>
      <c r="H56" s="19">
        <v>1.2999999999999999E-3</v>
      </c>
      <c r="I56" s="120">
        <f t="shared" si="2"/>
        <v>0</v>
      </c>
      <c r="J56" s="117">
        <f t="shared" si="1"/>
        <v>0</v>
      </c>
    </row>
    <row r="57" spans="1:10" ht="5.4" hidden="1" customHeight="1" x14ac:dyDescent="0.3">
      <c r="A57" s="728" t="s">
        <v>20</v>
      </c>
      <c r="B57" s="728"/>
      <c r="C57" s="728"/>
      <c r="D57" s="729"/>
      <c r="E57" s="130">
        <f>E55</f>
        <v>0</v>
      </c>
      <c r="F57" s="340" t="s">
        <v>56</v>
      </c>
      <c r="G57" s="18"/>
      <c r="H57" s="19">
        <v>1.1000000000000001E-3</v>
      </c>
      <c r="I57" s="120">
        <f t="shared" si="2"/>
        <v>0</v>
      </c>
      <c r="J57" s="117">
        <f t="shared" si="1"/>
        <v>0</v>
      </c>
    </row>
    <row r="58" spans="1:10" ht="27" customHeight="1" x14ac:dyDescent="0.3">
      <c r="A58" s="660" t="s">
        <v>1</v>
      </c>
      <c r="B58" s="661"/>
      <c r="C58" s="661"/>
      <c r="D58" s="662"/>
      <c r="E58" s="663">
        <f>'JUSTIFICATION DES BASES '!E113</f>
        <v>4051.4315999999999</v>
      </c>
      <c r="F58" s="663"/>
      <c r="G58" s="429"/>
      <c r="H58" s="400">
        <v>1.5E-3</v>
      </c>
      <c r="I58" s="120"/>
      <c r="J58" s="117">
        <f t="shared" ref="J58:J63" si="3">ROUND(E58*H58,2)</f>
        <v>6.08</v>
      </c>
    </row>
    <row r="59" spans="1:10" ht="27" customHeight="1" x14ac:dyDescent="0.3">
      <c r="A59" s="655" t="s">
        <v>23</v>
      </c>
      <c r="B59" s="655"/>
      <c r="C59" s="655"/>
      <c r="D59" s="655"/>
      <c r="E59" s="664">
        <f>'JUSTIFICATION DES BASES '!F120</f>
        <v>3925.0000000000005</v>
      </c>
      <c r="F59" s="664"/>
      <c r="G59" s="429"/>
      <c r="H59" s="230">
        <v>1.2999999999999999E-3</v>
      </c>
      <c r="I59" s="120"/>
      <c r="J59" s="117">
        <f t="shared" si="3"/>
        <v>5.0999999999999996</v>
      </c>
    </row>
    <row r="60" spans="1:10" ht="27" customHeight="1" x14ac:dyDescent="0.3">
      <c r="A60" s="655" t="s">
        <v>2</v>
      </c>
      <c r="B60" s="655"/>
      <c r="C60" s="655"/>
      <c r="D60" s="655"/>
      <c r="E60" s="663">
        <f>'JUSTIFICATION DES BASES '!G120</f>
        <v>2030.6100000000001</v>
      </c>
      <c r="F60" s="663"/>
      <c r="G60" s="429"/>
      <c r="H60" s="230">
        <v>4.0000000000000001E-3</v>
      </c>
      <c r="I60" s="120"/>
      <c r="J60" s="117">
        <f t="shared" si="3"/>
        <v>8.1199999999999992</v>
      </c>
    </row>
    <row r="61" spans="1:10" ht="27" customHeight="1" x14ac:dyDescent="0.3">
      <c r="A61" s="655" t="s">
        <v>3</v>
      </c>
      <c r="B61" s="655"/>
      <c r="C61" s="655"/>
      <c r="D61" s="655"/>
      <c r="E61" s="663">
        <f>'JUSTIFICATION DES BASES '!H120</f>
        <v>2030.6100000000001</v>
      </c>
      <c r="F61" s="663"/>
      <c r="G61" s="429"/>
      <c r="H61" s="230">
        <v>0.19700000000000001</v>
      </c>
      <c r="I61" s="120"/>
      <c r="J61" s="117">
        <f t="shared" si="3"/>
        <v>400.03</v>
      </c>
    </row>
    <row r="62" spans="1:10" ht="27" customHeight="1" x14ac:dyDescent="0.3">
      <c r="A62" s="655" t="s">
        <v>4</v>
      </c>
      <c r="B62" s="655"/>
      <c r="C62" s="655"/>
      <c r="D62" s="655"/>
      <c r="E62" s="663">
        <f>'JUSTIFICATION DES BASES '!I120</f>
        <v>2297.4299999999998</v>
      </c>
      <c r="F62" s="663"/>
      <c r="G62" s="429"/>
      <c r="H62" s="230">
        <v>1.1000000000000001E-3</v>
      </c>
      <c r="I62" s="120"/>
      <c r="J62" s="117">
        <f t="shared" si="3"/>
        <v>2.5299999999999998</v>
      </c>
    </row>
    <row r="63" spans="1:10" ht="27" customHeight="1" x14ac:dyDescent="0.3">
      <c r="A63" s="655" t="s">
        <v>19</v>
      </c>
      <c r="B63" s="655"/>
      <c r="C63" s="655"/>
      <c r="D63" s="655"/>
      <c r="E63" s="664">
        <f>'JUSTIFICATION DES BASES '!J120</f>
        <v>4517.3444499999996</v>
      </c>
      <c r="F63" s="664"/>
      <c r="G63" s="429"/>
      <c r="H63" s="230">
        <v>3.0000000000000001E-3</v>
      </c>
      <c r="I63" s="120"/>
      <c r="J63" s="117">
        <f t="shared" si="3"/>
        <v>13.55</v>
      </c>
    </row>
    <row r="64" spans="1:10" ht="24" hidden="1" customHeight="1" x14ac:dyDescent="0.3">
      <c r="A64" s="656" t="s">
        <v>19</v>
      </c>
      <c r="B64" s="656"/>
      <c r="C64" s="656"/>
      <c r="D64" s="656"/>
      <c r="E64" s="328">
        <f>IF('MASQUE DE SAISIE '!G9&gt;=11,J34*111.5%,0)</f>
        <v>0</v>
      </c>
      <c r="F64" s="691" t="s">
        <v>7</v>
      </c>
      <c r="G64" s="692"/>
      <c r="H64" s="230">
        <v>3.0000000000000001E-3</v>
      </c>
      <c r="I64" s="229"/>
      <c r="J64" s="117">
        <f t="shared" si="1"/>
        <v>0</v>
      </c>
    </row>
    <row r="65" spans="1:12" s="21" customFormat="1" ht="24" customHeight="1" x14ac:dyDescent="0.25">
      <c r="A65" s="525" t="s">
        <v>66</v>
      </c>
      <c r="B65" s="525"/>
      <c r="C65" s="525"/>
      <c r="D65" s="525"/>
      <c r="E65" s="722">
        <f>+'JUSTIFICATION DES BASES '!O36</f>
        <v>4047.51</v>
      </c>
      <c r="F65" s="723"/>
      <c r="G65" s="118">
        <f>'TABLE DES TAUX 2025'!C37</f>
        <v>6.8000000000000005E-2</v>
      </c>
      <c r="H65" s="22"/>
      <c r="I65" s="120">
        <f t="shared" si="2"/>
        <v>275.23</v>
      </c>
      <c r="J65" s="117">
        <f t="shared" si="1"/>
        <v>0</v>
      </c>
    </row>
    <row r="66" spans="1:12" s="21" customFormat="1" ht="26.4" customHeight="1" x14ac:dyDescent="0.25">
      <c r="A66" s="525" t="s">
        <v>22</v>
      </c>
      <c r="B66" s="525"/>
      <c r="C66" s="525"/>
      <c r="D66" s="525"/>
      <c r="E66" s="724">
        <f>E65</f>
        <v>4047.51</v>
      </c>
      <c r="F66" s="725"/>
      <c r="G66" s="118">
        <f>'TABLE DES TAUX 2025'!C38</f>
        <v>2.9000000000000001E-2</v>
      </c>
      <c r="H66" s="22"/>
      <c r="I66" s="120">
        <f t="shared" si="2"/>
        <v>117.38</v>
      </c>
      <c r="J66" s="117">
        <f t="shared" si="1"/>
        <v>0</v>
      </c>
    </row>
    <row r="67" spans="1:12" s="21" customFormat="1" ht="26.4" customHeight="1" x14ac:dyDescent="0.25">
      <c r="A67" s="525" t="s">
        <v>67</v>
      </c>
      <c r="B67" s="525"/>
      <c r="C67" s="525"/>
      <c r="D67" s="525"/>
      <c r="E67" s="724">
        <f>'JUSTIFICATION DES BASES '!M120</f>
        <v>151.9</v>
      </c>
      <c r="F67" s="725"/>
      <c r="G67" s="118">
        <f>'TABLE DES TAUX 2025'!C39</f>
        <v>6.8000000000000005E-2</v>
      </c>
      <c r="H67" s="22"/>
      <c r="I67" s="120">
        <f t="shared" si="2"/>
        <v>10.33</v>
      </c>
      <c r="J67" s="117">
        <f t="shared" si="1"/>
        <v>0</v>
      </c>
    </row>
    <row r="68" spans="1:12" s="21" customFormat="1" ht="26.4" customHeight="1" x14ac:dyDescent="0.25">
      <c r="A68" s="525" t="s">
        <v>68</v>
      </c>
      <c r="B68" s="525"/>
      <c r="C68" s="525"/>
      <c r="D68" s="525"/>
      <c r="E68" s="724">
        <f>E67</f>
        <v>151.9</v>
      </c>
      <c r="F68" s="725"/>
      <c r="G68" s="118">
        <f>'TABLE DES TAUX 2025'!C41</f>
        <v>2.9000000000000001E-2</v>
      </c>
      <c r="H68" s="22"/>
      <c r="I68" s="120">
        <f t="shared" si="2"/>
        <v>4.41</v>
      </c>
      <c r="J68" s="117">
        <f t="shared" si="1"/>
        <v>0</v>
      </c>
    </row>
    <row r="69" spans="1:12" ht="26.4" hidden="1" customHeight="1" x14ac:dyDescent="0.35">
      <c r="A69" s="525" t="s">
        <v>69</v>
      </c>
      <c r="B69" s="525"/>
      <c r="C69" s="525"/>
      <c r="D69" s="525"/>
      <c r="E69" s="130"/>
      <c r="F69" s="31"/>
      <c r="G69" s="118">
        <f>'TABLE DES TAUX 2025'!C40</f>
        <v>6.8000000000000005E-2</v>
      </c>
      <c r="H69" s="27"/>
      <c r="I69" s="120">
        <f t="shared" si="2"/>
        <v>0</v>
      </c>
      <c r="J69" s="117">
        <f t="shared" si="1"/>
        <v>0</v>
      </c>
    </row>
    <row r="70" spans="1:12" ht="26.4" customHeight="1" x14ac:dyDescent="0.35">
      <c r="A70" s="705" t="s">
        <v>88</v>
      </c>
      <c r="B70" s="705"/>
      <c r="C70" s="705"/>
      <c r="D70" s="706"/>
      <c r="E70" s="607"/>
      <c r="F70" s="608"/>
      <c r="G70" s="118"/>
      <c r="H70" s="32"/>
      <c r="I70" s="255">
        <f t="shared" si="2"/>
        <v>0</v>
      </c>
      <c r="J70" s="327">
        <f>'JUSTIFICATION DES BASES '!C47</f>
        <v>-15</v>
      </c>
    </row>
    <row r="71" spans="1:12" ht="18.600000000000001" customHeight="1" x14ac:dyDescent="0.35">
      <c r="A71" s="648" t="s">
        <v>89</v>
      </c>
      <c r="B71" s="648"/>
      <c r="C71" s="648"/>
      <c r="D71" s="649"/>
      <c r="E71" s="607">
        <f>J19*(1-'MASQUE DE SAISIE '!G16)</f>
        <v>142.24120000000002</v>
      </c>
      <c r="F71" s="608"/>
      <c r="G71" s="118">
        <f>F96</f>
        <v>0.11310000000000001</v>
      </c>
      <c r="H71" s="31"/>
      <c r="I71" s="326">
        <f>-ROUND(E71*G71,2)</f>
        <v>-16.09</v>
      </c>
      <c r="J71" s="256"/>
    </row>
    <row r="72" spans="1:12" ht="18" customHeight="1" x14ac:dyDescent="0.35">
      <c r="A72" s="455" t="s">
        <v>91</v>
      </c>
      <c r="B72" s="455"/>
      <c r="C72" s="455"/>
      <c r="D72" s="707"/>
      <c r="E72" s="607"/>
      <c r="F72" s="608"/>
      <c r="G72" s="118"/>
      <c r="H72" s="31"/>
      <c r="I72" s="120"/>
      <c r="J72" s="2"/>
    </row>
    <row r="73" spans="1:12" ht="18.600000000000001" hidden="1" customHeight="1" x14ac:dyDescent="0.35">
      <c r="A73" s="430"/>
      <c r="B73" s="430"/>
      <c r="C73" s="430"/>
      <c r="D73" s="434"/>
      <c r="E73" s="607"/>
      <c r="F73" s="608"/>
      <c r="G73" s="201"/>
      <c r="H73" s="439"/>
      <c r="I73" s="120"/>
      <c r="J73" s="2"/>
    </row>
    <row r="74" spans="1:12" s="21" customFormat="1" ht="24" customHeight="1" x14ac:dyDescent="0.25">
      <c r="A74" s="648" t="s">
        <v>165</v>
      </c>
      <c r="B74" s="648"/>
      <c r="C74" s="648"/>
      <c r="D74" s="649"/>
      <c r="E74" s="607">
        <f>IF('MASQUE DE SAISIE '!G15=1,'BP CORRECTION  '!J35,'BP CORRECTION  '!J34)</f>
        <v>4051.43</v>
      </c>
      <c r="F74" s="608"/>
      <c r="G74" s="201">
        <f>'MASQUE DE SAISIE '!G13</f>
        <v>8.6999999999999994E-3</v>
      </c>
      <c r="H74" s="201">
        <f>'MASQUE DE SAISIE '!H13</f>
        <v>1.72E-2</v>
      </c>
      <c r="I74" s="120">
        <f t="shared" si="2"/>
        <v>35.25</v>
      </c>
      <c r="J74" s="117">
        <f t="shared" si="1"/>
        <v>69.680000000000007</v>
      </c>
    </row>
    <row r="75" spans="1:12" s="21" customFormat="1" ht="24.6" customHeight="1" x14ac:dyDescent="0.25">
      <c r="A75" s="709" t="s">
        <v>222</v>
      </c>
      <c r="B75" s="709"/>
      <c r="C75" s="709"/>
      <c r="D75" s="709"/>
      <c r="E75" s="709"/>
      <c r="F75" s="709"/>
      <c r="G75" s="709"/>
      <c r="H75" s="709"/>
      <c r="I75" s="330">
        <f>SUM(I38:I74)</f>
        <v>938.91</v>
      </c>
      <c r="J75" s="330">
        <f>SUM(J38:J74)</f>
        <v>2039.8499999999997</v>
      </c>
    </row>
    <row r="76" spans="1:12" s="21" customFormat="1" ht="24.6" hidden="1" customHeight="1" x14ac:dyDescent="0.25">
      <c r="A76" s="657" t="s">
        <v>532</v>
      </c>
      <c r="B76" s="658"/>
      <c r="C76" s="658"/>
      <c r="D76" s="658"/>
      <c r="E76" s="658"/>
      <c r="F76" s="658"/>
      <c r="G76" s="658"/>
      <c r="H76" s="659"/>
      <c r="I76" s="330"/>
      <c r="J76" s="354"/>
    </row>
    <row r="77" spans="1:12" s="21" customFormat="1" ht="25.8" hidden="1" customHeight="1" x14ac:dyDescent="0.25">
      <c r="A77" s="657" t="s">
        <v>433</v>
      </c>
      <c r="B77" s="658"/>
      <c r="C77" s="658"/>
      <c r="D77" s="658"/>
      <c r="E77" s="658"/>
      <c r="F77" s="658"/>
      <c r="G77" s="658"/>
      <c r="H77" s="659"/>
      <c r="I77" s="330"/>
      <c r="J77" s="354"/>
    </row>
    <row r="78" spans="1:12" s="21" customFormat="1" ht="25.8" customHeight="1" x14ac:dyDescent="0.25">
      <c r="A78" s="710" t="s">
        <v>94</v>
      </c>
      <c r="B78" s="710"/>
      <c r="C78" s="710"/>
      <c r="D78" s="710"/>
      <c r="E78" s="710"/>
      <c r="F78" s="710"/>
      <c r="G78" s="710"/>
      <c r="H78" s="710"/>
      <c r="I78" s="331">
        <f>'JUSTIFICATION DES BASES '!L8</f>
        <v>3238.2200000000003</v>
      </c>
      <c r="J78" s="129"/>
    </row>
    <row r="79" spans="1:12" s="21" customFormat="1" ht="27.6" hidden="1" customHeight="1" x14ac:dyDescent="0.25">
      <c r="A79" s="711" t="s">
        <v>227</v>
      </c>
      <c r="B79" s="711"/>
      <c r="C79" s="711"/>
      <c r="D79" s="711"/>
      <c r="E79" s="711"/>
      <c r="F79" s="711"/>
      <c r="G79" s="711"/>
      <c r="H79" s="711"/>
      <c r="I79" s="23"/>
      <c r="J79" s="129"/>
      <c r="L79" s="305"/>
    </row>
    <row r="80" spans="1:12" s="21" customFormat="1" ht="27.6" customHeight="1" x14ac:dyDescent="0.25">
      <c r="A80" s="697" t="s">
        <v>221</v>
      </c>
      <c r="B80" s="697"/>
      <c r="C80" s="697"/>
      <c r="D80" s="697"/>
      <c r="E80" s="697"/>
      <c r="F80" s="697"/>
      <c r="G80" s="697"/>
      <c r="H80" s="697"/>
      <c r="I80" s="178">
        <f>J34-I75+I79+I76+I77</f>
        <v>3464.8199999999997</v>
      </c>
      <c r="J80" s="149"/>
      <c r="L80" s="305"/>
    </row>
    <row r="81" spans="1:31" s="21" customFormat="1" ht="27.6" customHeight="1" x14ac:dyDescent="0.25">
      <c r="A81" s="708" t="s">
        <v>220</v>
      </c>
      <c r="B81" s="708"/>
      <c r="C81" s="708"/>
      <c r="D81" s="708"/>
      <c r="E81" s="708"/>
      <c r="F81" s="708"/>
      <c r="G81" s="708"/>
      <c r="H81" s="708"/>
      <c r="I81" s="255">
        <f>'JUSTIFICATION DES BASES '!E35</f>
        <v>3266.1351429999995</v>
      </c>
      <c r="J81" s="149"/>
      <c r="K81" s="202"/>
      <c r="L81" s="336"/>
    </row>
    <row r="82" spans="1:31" s="21" customFormat="1" ht="24" customHeight="1" x14ac:dyDescent="0.25">
      <c r="A82" s="704" t="s">
        <v>216</v>
      </c>
      <c r="B82" s="704"/>
      <c r="C82" s="704"/>
      <c r="D82" s="704"/>
      <c r="E82" s="699" t="s">
        <v>217</v>
      </c>
      <c r="F82" s="699"/>
      <c r="G82" s="699" t="s">
        <v>218</v>
      </c>
      <c r="H82" s="699"/>
      <c r="I82" s="177" t="s">
        <v>219</v>
      </c>
      <c r="J82" s="149"/>
      <c r="L82" s="305"/>
    </row>
    <row r="83" spans="1:31" s="21" customFormat="1" ht="24" customHeight="1" x14ac:dyDescent="0.25">
      <c r="A83" s="704"/>
      <c r="B83" s="704"/>
      <c r="C83" s="704"/>
      <c r="D83" s="704"/>
      <c r="E83" s="700">
        <f>+I81</f>
        <v>3266.1351429999995</v>
      </c>
      <c r="F83" s="701"/>
      <c r="G83" s="702">
        <f>'TAUX NEUTRE '!H12</f>
        <v>9.9000000000000005E-2</v>
      </c>
      <c r="H83" s="703"/>
      <c r="I83" s="436">
        <f>ROUND(E83*G83,2)</f>
        <v>323.35000000000002</v>
      </c>
      <c r="J83" s="149"/>
      <c r="L83" s="305"/>
    </row>
    <row r="84" spans="1:31" ht="20.25" customHeight="1" x14ac:dyDescent="0.3">
      <c r="A84" s="697" t="s">
        <v>223</v>
      </c>
      <c r="B84" s="697"/>
      <c r="C84" s="697"/>
      <c r="D84" s="697"/>
      <c r="E84" s="697"/>
      <c r="F84" s="697"/>
      <c r="G84" s="697"/>
      <c r="H84" s="697"/>
      <c r="I84" s="330">
        <f>I80-I83</f>
        <v>3141.47</v>
      </c>
      <c r="J84" s="185"/>
      <c r="K84" s="176"/>
      <c r="L84" s="332"/>
    </row>
    <row r="85" spans="1:31" ht="24.6" customHeight="1" x14ac:dyDescent="0.3">
      <c r="A85" s="698" t="s">
        <v>224</v>
      </c>
      <c r="B85" s="698"/>
      <c r="C85" s="698"/>
      <c r="D85" s="698"/>
      <c r="E85" s="698"/>
      <c r="F85" s="698"/>
      <c r="G85" s="698"/>
      <c r="H85" s="698"/>
      <c r="I85" s="330">
        <f>(J16+J17+J18+J19+J20)-I67</f>
        <v>144.28</v>
      </c>
      <c r="J85" s="185"/>
      <c r="K85" s="176"/>
    </row>
    <row r="86" spans="1:31" s="21" customFormat="1" ht="24" customHeight="1" x14ac:dyDescent="0.25">
      <c r="A86" s="698" t="s">
        <v>235</v>
      </c>
      <c r="B86" s="698"/>
      <c r="C86" s="698"/>
      <c r="D86" s="698"/>
      <c r="E86" s="698"/>
      <c r="F86" s="698"/>
      <c r="G86" s="698"/>
      <c r="H86" s="698"/>
      <c r="I86" s="330">
        <f>'JUSTIFICATION DES BASES '!D164</f>
        <v>316.02</v>
      </c>
      <c r="J86" s="149"/>
      <c r="L86" s="305"/>
    </row>
    <row r="87" spans="1:31" s="21" customFormat="1" ht="24" customHeight="1" x14ac:dyDescent="0.25">
      <c r="A87" s="428"/>
      <c r="B87" s="428"/>
      <c r="C87" s="428"/>
      <c r="D87" s="428"/>
      <c r="E87" s="428"/>
      <c r="F87" s="428"/>
      <c r="G87" s="428"/>
      <c r="H87" s="428"/>
      <c r="I87" s="435"/>
      <c r="J87" s="149"/>
      <c r="L87" s="305"/>
    </row>
    <row r="89" spans="1:31" s="6" customFormat="1" ht="20.25" customHeight="1" x14ac:dyDescent="0.25">
      <c r="A89" s="134"/>
      <c r="B89" s="718" t="s">
        <v>168</v>
      </c>
      <c r="C89" s="719"/>
      <c r="D89" s="135" t="s">
        <v>169</v>
      </c>
      <c r="E89" s="720"/>
      <c r="F89" s="720"/>
      <c r="G89" s="721"/>
      <c r="H89" s="721"/>
      <c r="I89" s="721"/>
      <c r="J89" s="721"/>
      <c r="K89" s="721"/>
      <c r="L89" s="136"/>
      <c r="P89" s="137"/>
    </row>
    <row r="90" spans="1:31" ht="30" customHeight="1" x14ac:dyDescent="0.3">
      <c r="A90" s="134"/>
      <c r="B90" s="138"/>
      <c r="C90"/>
      <c r="D90" s="139" t="s">
        <v>25</v>
      </c>
      <c r="E90" s="139" t="s">
        <v>170</v>
      </c>
      <c r="F90" s="140" t="s">
        <v>171</v>
      </c>
      <c r="G90" s="141"/>
      <c r="H90" s="142"/>
      <c r="I90" s="142"/>
      <c r="J90" s="142"/>
      <c r="L90" s="141"/>
      <c r="M90" s="142"/>
      <c r="N90" s="141"/>
      <c r="O90" s="142"/>
      <c r="P90" s="141"/>
      <c r="Q90" s="142"/>
      <c r="R90" s="141"/>
      <c r="S90" s="142"/>
      <c r="T90" s="141"/>
      <c r="U90" s="142"/>
      <c r="V90" s="141"/>
      <c r="W90" s="142"/>
      <c r="X90" s="141"/>
      <c r="Y90" s="142"/>
      <c r="Z90" s="141"/>
      <c r="AA90" s="142"/>
      <c r="AB90" s="141"/>
      <c r="AC90" s="142"/>
      <c r="AD90" s="141"/>
      <c r="AE90" s="142"/>
    </row>
    <row r="91" spans="1:31" ht="20.25" customHeight="1" x14ac:dyDescent="0.3">
      <c r="A91" s="134"/>
      <c r="B91" s="695" t="s">
        <v>76</v>
      </c>
      <c r="C91" s="696"/>
      <c r="D91" s="171">
        <f>G43</f>
        <v>6.9000000000000006E-2</v>
      </c>
      <c r="E91" s="120">
        <f>E43</f>
        <v>3925.0000000000005</v>
      </c>
      <c r="F91" s="172">
        <f>ROUND(E91*D91,2)</f>
        <v>270.83</v>
      </c>
      <c r="G91" s="143"/>
      <c r="H91" s="144"/>
      <c r="I91" s="145"/>
      <c r="J91" s="144"/>
      <c r="L91" s="144"/>
      <c r="M91" s="144"/>
      <c r="N91" s="144"/>
      <c r="O91" s="144"/>
      <c r="P91" s="144"/>
      <c r="Q91" s="144"/>
      <c r="R91" s="144"/>
      <c r="S91" s="144"/>
      <c r="T91" s="151"/>
      <c r="U91" s="152"/>
      <c r="V91" s="151"/>
      <c r="W91" s="152"/>
      <c r="X91" s="151"/>
      <c r="Y91" s="152"/>
      <c r="Z91" s="151"/>
      <c r="AA91" s="153"/>
      <c r="AB91" s="151"/>
      <c r="AC91" s="153"/>
      <c r="AD91" s="151"/>
      <c r="AE91" s="153"/>
    </row>
    <row r="92" spans="1:31" ht="20.25" customHeight="1" x14ac:dyDescent="0.3">
      <c r="A92" s="134"/>
      <c r="B92" s="695" t="s">
        <v>77</v>
      </c>
      <c r="C92" s="696"/>
      <c r="D92" s="171">
        <f>G44</f>
        <v>4.0000000000000001E-3</v>
      </c>
      <c r="E92" s="120">
        <f>E44</f>
        <v>4051.43</v>
      </c>
      <c r="F92" s="172">
        <f t="shared" ref="F92:F94" si="4">ROUND(E92*D92,2)</f>
        <v>16.21</v>
      </c>
      <c r="G92" s="143"/>
      <c r="H92" s="144"/>
      <c r="I92" s="144"/>
      <c r="J92" s="144"/>
      <c r="L92" s="144"/>
      <c r="M92" s="144"/>
      <c r="N92" s="144"/>
      <c r="O92" s="144"/>
      <c r="P92" s="144"/>
      <c r="Q92" s="144"/>
      <c r="R92" s="144"/>
      <c r="S92" s="144"/>
      <c r="T92" s="154"/>
      <c r="U92" s="153"/>
      <c r="V92" s="151"/>
      <c r="W92" s="153"/>
      <c r="X92" s="151"/>
      <c r="Y92" s="153"/>
      <c r="Z92" s="151"/>
      <c r="AA92" s="153"/>
      <c r="AB92" s="151"/>
      <c r="AC92" s="153"/>
      <c r="AD92" s="151"/>
      <c r="AE92" s="153"/>
    </row>
    <row r="93" spans="1:31" ht="20.25" customHeight="1" x14ac:dyDescent="0.3">
      <c r="A93" s="134"/>
      <c r="B93" s="695" t="s">
        <v>78</v>
      </c>
      <c r="C93" s="696"/>
      <c r="D93" s="171">
        <f>G45</f>
        <v>4.1499999999999995E-2</v>
      </c>
      <c r="E93" s="120">
        <f>E45</f>
        <v>3925.0000000000005</v>
      </c>
      <c r="F93" s="172">
        <f t="shared" si="4"/>
        <v>162.88999999999999</v>
      </c>
      <c r="G93" s="143"/>
      <c r="H93" s="144"/>
      <c r="I93" s="144"/>
      <c r="J93" s="144"/>
      <c r="L93" s="144"/>
      <c r="M93" s="144"/>
      <c r="N93" s="144"/>
      <c r="O93" s="144"/>
      <c r="P93" s="144"/>
      <c r="Q93" s="144"/>
      <c r="R93" s="144"/>
      <c r="S93" s="144"/>
      <c r="T93" s="151"/>
      <c r="U93" s="152"/>
      <c r="V93" s="151"/>
      <c r="W93" s="153"/>
      <c r="X93" s="151"/>
      <c r="Y93" s="153"/>
      <c r="Z93" s="151"/>
      <c r="AA93" s="153"/>
      <c r="AB93" s="151"/>
      <c r="AC93" s="153"/>
      <c r="AD93" s="151"/>
      <c r="AE93" s="153"/>
    </row>
    <row r="94" spans="1:31" ht="16.2" customHeight="1" x14ac:dyDescent="0.3">
      <c r="A94" s="134"/>
      <c r="B94" s="695" t="s">
        <v>79</v>
      </c>
      <c r="C94" s="696"/>
      <c r="D94" s="171">
        <f>G46</f>
        <v>9.8600000000000007E-2</v>
      </c>
      <c r="E94" s="120">
        <f>E46</f>
        <v>126.42999999999938</v>
      </c>
      <c r="F94" s="172">
        <f t="shared" si="4"/>
        <v>12.47</v>
      </c>
      <c r="G94" s="143"/>
      <c r="H94" s="144"/>
      <c r="I94" s="144"/>
      <c r="J94" s="144"/>
      <c r="L94" s="144"/>
      <c r="M94" s="144"/>
      <c r="N94" s="144"/>
      <c r="O94" s="144"/>
      <c r="P94" s="144"/>
      <c r="Q94" s="144"/>
      <c r="R94" s="144"/>
      <c r="S94" s="144"/>
      <c r="T94" s="151"/>
      <c r="U94" s="153"/>
      <c r="V94" s="151"/>
      <c r="W94" s="153"/>
      <c r="X94" s="151"/>
      <c r="Y94" s="153"/>
      <c r="Z94" s="151"/>
      <c r="AA94" s="153"/>
      <c r="AB94" s="151"/>
      <c r="AC94" s="153"/>
      <c r="AD94" s="151"/>
      <c r="AE94" s="153"/>
    </row>
    <row r="95" spans="1:31" s="114" customFormat="1" ht="16.2" customHeight="1" x14ac:dyDescent="0.3">
      <c r="A95" s="134"/>
      <c r="B95" s="716" t="s">
        <v>172</v>
      </c>
      <c r="C95" s="716"/>
      <c r="D95" s="173"/>
      <c r="E95" s="3"/>
      <c r="F95" s="174">
        <f>SUM(F91:F94)</f>
        <v>462.4</v>
      </c>
      <c r="H95" s="146"/>
      <c r="I95" s="146"/>
      <c r="J95" s="146"/>
      <c r="L95" s="155"/>
      <c r="M95" s="155"/>
      <c r="N95" s="155"/>
      <c r="O95" s="155"/>
      <c r="P95" s="155"/>
      <c r="Q95" s="155"/>
      <c r="R95" s="155"/>
      <c r="S95" s="155"/>
      <c r="T95" s="155"/>
      <c r="U95" s="155"/>
      <c r="V95" s="155"/>
      <c r="W95" s="155"/>
      <c r="X95" s="155"/>
      <c r="Y95" s="155"/>
      <c r="Z95" s="155"/>
      <c r="AA95" s="155"/>
      <c r="AB95" s="155"/>
      <c r="AC95" s="155"/>
      <c r="AD95" s="155"/>
      <c r="AE95" s="155"/>
    </row>
    <row r="96" spans="1:31" ht="20.25" customHeight="1" x14ac:dyDescent="0.3">
      <c r="A96" s="134"/>
      <c r="B96" s="475" t="s">
        <v>173</v>
      </c>
      <c r="C96" s="475"/>
      <c r="D96" s="388"/>
      <c r="E96" s="389"/>
      <c r="F96" s="390">
        <f xml:space="preserve"> ROUND(IF(F95/E92&gt;0.1131,0.1131,F95/E92),4)</f>
        <v>0.11310000000000001</v>
      </c>
      <c r="G96" s="181"/>
      <c r="H96" s="147"/>
      <c r="I96" s="147"/>
      <c r="J96" s="186"/>
      <c r="L96" s="148"/>
      <c r="N96" s="147"/>
      <c r="P96" s="147"/>
    </row>
    <row r="97" spans="1:16" ht="20.25" customHeight="1" x14ac:dyDescent="0.3">
      <c r="A97" s="391"/>
      <c r="B97" s="175"/>
      <c r="C97" s="175"/>
      <c r="D97" s="388"/>
      <c r="E97" s="392"/>
      <c r="F97" s="393"/>
      <c r="G97" s="147"/>
      <c r="H97" s="147"/>
      <c r="I97" s="147"/>
      <c r="J97" s="186"/>
      <c r="L97" s="148"/>
      <c r="N97" s="147"/>
      <c r="P97" s="147"/>
    </row>
    <row r="98" spans="1:16" ht="20.25" customHeight="1" x14ac:dyDescent="0.3">
      <c r="A98" s="391"/>
      <c r="B98" s="175"/>
      <c r="C98" s="175"/>
      <c r="D98" s="388"/>
      <c r="E98" s="392"/>
      <c r="F98" s="393"/>
      <c r="G98" s="147"/>
      <c r="H98" s="147"/>
      <c r="I98" s="147"/>
      <c r="J98" s="186"/>
      <c r="L98" s="148"/>
      <c r="N98" s="147"/>
      <c r="P98" s="147"/>
    </row>
    <row r="99" spans="1:16" ht="28.8" customHeight="1" x14ac:dyDescent="0.3">
      <c r="A99" s="717" t="s">
        <v>174</v>
      </c>
      <c r="B99" s="717"/>
      <c r="C99" s="717"/>
      <c r="D99" s="717"/>
      <c r="E99" s="717"/>
      <c r="F99" s="717"/>
      <c r="G99" s="717"/>
      <c r="H99" s="717"/>
      <c r="I99" s="717"/>
      <c r="J99" s="717"/>
      <c r="L99" s="148"/>
      <c r="N99" s="147"/>
      <c r="P99" s="147"/>
    </row>
    <row r="100" spans="1:16" ht="22.2" customHeight="1" x14ac:dyDescent="0.3">
      <c r="A100" s="668" t="s">
        <v>211</v>
      </c>
      <c r="B100" s="669"/>
      <c r="C100" s="669"/>
      <c r="D100" s="670"/>
      <c r="E100" s="408">
        <f>IF('MASQUE DE SAISIE '!G9&lt;50,IF('MASQUE DE SAISIE '!G15=1,IF(J35&gt;C35,C35*111.5%,J35*111.5%),IF(J34&gt;C35,J34*111.5%,J34*111.5%)),0)</f>
        <v>4376.3750000000009</v>
      </c>
      <c r="F100" s="693" t="s">
        <v>214</v>
      </c>
      <c r="G100" s="694"/>
      <c r="H100" s="409">
        <f>'TABLE DES TAUX 2025'!D26</f>
        <v>1E-3</v>
      </c>
      <c r="I100" s="410">
        <f t="shared" ref="I100:I110" si="5">ROUND(E100*H100,2)</f>
        <v>4.38</v>
      </c>
      <c r="L100" s="148"/>
      <c r="N100" s="147"/>
      <c r="P100" s="147"/>
    </row>
    <row r="101" spans="1:16" ht="1.2" hidden="1" customHeight="1" x14ac:dyDescent="0.3">
      <c r="A101" s="712" t="s">
        <v>212</v>
      </c>
      <c r="B101" s="713"/>
      <c r="C101" s="713"/>
      <c r="D101" s="714"/>
      <c r="E101" s="411">
        <f>IF('MASQUE DE SAISIE '!G9&gt;50,IF('MASQUE DE SAISIE '!G15=1,J35*111.5%,J34*111.5%),0)</f>
        <v>0</v>
      </c>
      <c r="F101" s="693" t="s">
        <v>214</v>
      </c>
      <c r="G101" s="694"/>
      <c r="H101" s="412">
        <f>'TABLE DES TAUX 2025'!D27</f>
        <v>5.0000000000000001E-3</v>
      </c>
      <c r="I101" s="413">
        <f t="shared" si="5"/>
        <v>0</v>
      </c>
      <c r="L101" s="148"/>
      <c r="N101" s="147"/>
      <c r="P101" s="147"/>
    </row>
    <row r="102" spans="1:16" ht="45" hidden="1" customHeight="1" x14ac:dyDescent="0.3">
      <c r="A102" s="715" t="s">
        <v>213</v>
      </c>
      <c r="B102" s="715"/>
      <c r="C102" s="715"/>
      <c r="D102" s="715"/>
      <c r="E102" s="414">
        <f>IF('MASQUE DE SAISIE '!G9&gt;=11,IF('MASQUE DE SAISIE '!G15=1,'BP CORRECTION  '!J35*111.5%,'BP CORRECTION  '!J34*111.5%),0)</f>
        <v>0</v>
      </c>
      <c r="F102" s="693" t="s">
        <v>214</v>
      </c>
      <c r="G102" s="694"/>
      <c r="H102" s="415">
        <f>'MASQUE DE SAISIE '!H22</f>
        <v>0</v>
      </c>
      <c r="I102" s="414">
        <f t="shared" si="5"/>
        <v>0</v>
      </c>
      <c r="L102" s="148"/>
      <c r="N102" s="147"/>
      <c r="P102" s="147"/>
    </row>
    <row r="103" spans="1:16" ht="31.2" customHeight="1" x14ac:dyDescent="0.3">
      <c r="A103" s="668" t="s">
        <v>215</v>
      </c>
      <c r="B103" s="669"/>
      <c r="C103" s="669"/>
      <c r="D103" s="670"/>
      <c r="E103" s="408">
        <f>IF('MASQUE DE SAISIE '!G15=1,J35,J34)</f>
        <v>4051.43</v>
      </c>
      <c r="F103" s="525" t="s">
        <v>57</v>
      </c>
      <c r="G103" s="525"/>
      <c r="H103" s="415">
        <v>3.0000000000000001E-3</v>
      </c>
      <c r="I103" s="414">
        <f t="shared" si="5"/>
        <v>12.15</v>
      </c>
      <c r="L103" s="148"/>
      <c r="N103" s="147"/>
      <c r="P103" s="147"/>
    </row>
    <row r="104" spans="1:16" s="128" customFormat="1" ht="45" hidden="1" customHeight="1" x14ac:dyDescent="0.3">
      <c r="A104" s="679" t="s">
        <v>11</v>
      </c>
      <c r="B104" s="679"/>
      <c r="C104" s="679"/>
      <c r="D104" s="679"/>
      <c r="E104" s="408">
        <f>IF('MASQUE DE SAISIE '!G9&gt;=11,J40+E74*H74,0)</f>
        <v>0</v>
      </c>
      <c r="F104" s="525" t="s">
        <v>57</v>
      </c>
      <c r="G104" s="525"/>
      <c r="H104" s="415">
        <v>0.08</v>
      </c>
      <c r="I104" s="414">
        <f t="shared" si="5"/>
        <v>0</v>
      </c>
      <c r="J104" s="187"/>
    </row>
    <row r="105" spans="1:16" ht="31.2" customHeight="1" x14ac:dyDescent="0.3">
      <c r="A105" s="668" t="s">
        <v>13</v>
      </c>
      <c r="B105" s="669"/>
      <c r="C105" s="669"/>
      <c r="D105" s="670"/>
      <c r="E105" s="408">
        <f>IF('MASQUE DE SAISIE '!G15=1,J35,J34)</f>
        <v>4051.43</v>
      </c>
      <c r="F105" s="525" t="s">
        <v>57</v>
      </c>
      <c r="G105" s="525"/>
      <c r="H105" s="416">
        <f>0.016%</f>
        <v>1.6000000000000001E-4</v>
      </c>
      <c r="I105" s="417">
        <f t="shared" si="5"/>
        <v>0.65</v>
      </c>
    </row>
    <row r="106" spans="1:16" ht="23.4" customHeight="1" x14ac:dyDescent="0.3">
      <c r="A106" s="668" t="s">
        <v>17</v>
      </c>
      <c r="B106" s="669"/>
      <c r="C106" s="669"/>
      <c r="D106" s="670"/>
      <c r="E106" s="408">
        <f>IF('MASQUE DE SAISIE '!G15=1,J35*111.5%,J34*111.5%)</f>
        <v>4517.3444499999996</v>
      </c>
      <c r="F106" s="525" t="s">
        <v>7</v>
      </c>
      <c r="G106" s="525"/>
      <c r="H106" s="418">
        <f>IF(B8&lt;=10,0.55%,1%)</f>
        <v>5.5000000000000005E-3</v>
      </c>
      <c r="I106" s="419">
        <f t="shared" si="5"/>
        <v>24.85</v>
      </c>
    </row>
    <row r="107" spans="1:16" ht="23.4" customHeight="1" x14ac:dyDescent="0.3">
      <c r="A107" s="668" t="s">
        <v>16</v>
      </c>
      <c r="B107" s="669"/>
      <c r="C107" s="669"/>
      <c r="D107" s="670"/>
      <c r="E107" s="408">
        <f>IF('MASQUE DE SAISIE '!G15=1,J35*120%,'BP CORRECTION  '!J34*120%)</f>
        <v>4861.7159999999994</v>
      </c>
      <c r="F107" s="525" t="s">
        <v>58</v>
      </c>
      <c r="G107" s="525"/>
      <c r="H107" s="418">
        <f>IF('MASQUE DE SAISIE '!G9&lt;11,0.35%,IF('MASQUE DE SAISIE '!G9&lt;300,0.2%,0))</f>
        <v>3.4999999999999996E-3</v>
      </c>
      <c r="I107" s="419">
        <f t="shared" si="5"/>
        <v>17.02</v>
      </c>
    </row>
    <row r="108" spans="1:16" ht="23.4" customHeight="1" x14ac:dyDescent="0.3">
      <c r="A108" s="668" t="s">
        <v>18</v>
      </c>
      <c r="B108" s="669"/>
      <c r="C108" s="669"/>
      <c r="D108" s="670"/>
      <c r="E108" s="420"/>
      <c r="F108" s="525" t="s">
        <v>553</v>
      </c>
      <c r="G108" s="525"/>
      <c r="H108" s="416">
        <v>6.7999999999999996E-3</v>
      </c>
      <c r="I108" s="419">
        <f t="shared" si="5"/>
        <v>0</v>
      </c>
    </row>
    <row r="109" spans="1:16" ht="23.4" hidden="1" customHeight="1" x14ac:dyDescent="0.3">
      <c r="A109" s="679" t="s">
        <v>19</v>
      </c>
      <c r="B109" s="679"/>
      <c r="C109" s="679"/>
      <c r="D109" s="679"/>
      <c r="E109" s="420">
        <f>IF(E63=0,E106,0)</f>
        <v>0</v>
      </c>
      <c r="F109" s="680"/>
      <c r="G109" s="681"/>
      <c r="H109" s="416"/>
      <c r="I109" s="419">
        <f t="shared" si="5"/>
        <v>0</v>
      </c>
    </row>
    <row r="110" spans="1:16" ht="23.4" hidden="1" customHeight="1" x14ac:dyDescent="0.3">
      <c r="A110" s="671" t="s">
        <v>14</v>
      </c>
      <c r="B110" s="672"/>
      <c r="C110" s="672"/>
      <c r="D110" s="673"/>
      <c r="E110" s="421">
        <f>ROUND(IF('MASQUE DE SAISIE '!G9&lt;50,0,IF('MASQUE DE SAISIE '!G15=1,'BP CORRECTION  '!J35*111.5%,'BP CORRECTION  '!J34*111.5%)),2)</f>
        <v>0</v>
      </c>
      <c r="F110" s="677" t="s">
        <v>65</v>
      </c>
      <c r="G110" s="678"/>
      <c r="H110" s="422">
        <v>4.4999999999999997E-3</v>
      </c>
      <c r="I110" s="423">
        <f t="shared" si="5"/>
        <v>0</v>
      </c>
    </row>
    <row r="111" spans="1:16" ht="28.2" customHeight="1" x14ac:dyDescent="0.3">
      <c r="A111" s="674" t="s">
        <v>87</v>
      </c>
      <c r="B111" s="674"/>
      <c r="C111" s="674"/>
      <c r="D111" s="674"/>
      <c r="E111" s="674"/>
      <c r="F111" s="674"/>
      <c r="G111" s="674"/>
      <c r="H111" s="675"/>
      <c r="I111" s="424">
        <f>SUM(I100:I110)</f>
        <v>59.05</v>
      </c>
      <c r="J111" s="437" t="s">
        <v>554</v>
      </c>
      <c r="K111" s="148"/>
    </row>
    <row r="112" spans="1:16" ht="39" customHeight="1" x14ac:dyDescent="0.3">
      <c r="A112" s="648" t="s">
        <v>555</v>
      </c>
      <c r="B112" s="648"/>
      <c r="C112" s="648"/>
      <c r="D112" s="648"/>
      <c r="E112" s="648"/>
      <c r="F112" s="648"/>
      <c r="G112" s="648"/>
      <c r="H112" s="648"/>
      <c r="I112" s="1"/>
    </row>
    <row r="113" spans="1:11" ht="26.4" customHeight="1" x14ac:dyDescent="0.35"/>
    <row r="114" spans="1:11" ht="0.6" customHeight="1" x14ac:dyDescent="0.35"/>
    <row r="115" spans="1:11" s="13" customFormat="1" ht="24" customHeight="1" x14ac:dyDescent="0.25">
      <c r="B115" s="676" t="s">
        <v>29</v>
      </c>
      <c r="C115" s="676"/>
      <c r="D115" s="676"/>
      <c r="E115" s="676"/>
      <c r="F115" s="676"/>
      <c r="G115" s="676"/>
      <c r="H115" s="676"/>
      <c r="I115" s="676"/>
      <c r="J115" s="676"/>
      <c r="K115" s="676"/>
    </row>
    <row r="116" spans="1:11" s="13" customFormat="1" ht="22.8" customHeight="1" x14ac:dyDescent="0.25">
      <c r="B116" s="665" t="s">
        <v>30</v>
      </c>
      <c r="C116" s="665"/>
      <c r="D116" s="665"/>
      <c r="E116" s="665"/>
      <c r="F116" s="665"/>
      <c r="G116" s="665"/>
      <c r="H116" s="665"/>
      <c r="I116" s="665"/>
      <c r="J116" s="665"/>
      <c r="K116" s="665"/>
    </row>
    <row r="117" spans="1:11" s="6" customFormat="1" ht="30" customHeight="1" x14ac:dyDescent="0.25">
      <c r="B117" s="503" t="s">
        <v>31</v>
      </c>
      <c r="C117" s="503"/>
      <c r="D117" s="503"/>
      <c r="E117" s="180">
        <f>IF(E119&gt;=E124,0.3193,0.3194)</f>
        <v>0.31940000000000002</v>
      </c>
      <c r="F117" s="359" t="s">
        <v>32</v>
      </c>
      <c r="J117" s="9"/>
    </row>
    <row r="118" spans="1:11" s="6" customFormat="1" ht="30" customHeight="1" x14ac:dyDescent="0.25">
      <c r="B118" s="503" t="s">
        <v>33</v>
      </c>
      <c r="C118" s="503"/>
      <c r="D118" s="503"/>
      <c r="E118" s="180">
        <f>IF(E119&lt;E124,0.3234,0.3233)</f>
        <v>0.32340000000000002</v>
      </c>
      <c r="F118" s="10" t="s">
        <v>32</v>
      </c>
      <c r="J118" s="9"/>
    </row>
    <row r="119" spans="1:11" s="6" customFormat="1" ht="30" customHeight="1" x14ac:dyDescent="0.25">
      <c r="B119" s="503" t="s">
        <v>34</v>
      </c>
      <c r="C119" s="503"/>
      <c r="D119" s="503"/>
      <c r="E119" s="126">
        <f>+'BP CORRECTION  '!H9</f>
        <v>45658</v>
      </c>
      <c r="F119" s="14"/>
      <c r="J119" s="9"/>
    </row>
    <row r="120" spans="1:11" s="6" customFormat="1" ht="30" customHeight="1" x14ac:dyDescent="0.25">
      <c r="B120" s="503" t="s">
        <v>35</v>
      </c>
      <c r="C120" s="503"/>
      <c r="D120" s="503"/>
      <c r="E120" s="15">
        <f>'MASQUE DE SAISIE '!G9</f>
        <v>9</v>
      </c>
      <c r="F120" s="14"/>
      <c r="J120" s="9"/>
    </row>
    <row r="121" spans="1:11" s="6" customFormat="1" ht="25.8" customHeight="1" x14ac:dyDescent="0.25">
      <c r="B121" s="503" t="s">
        <v>36</v>
      </c>
      <c r="C121" s="503"/>
      <c r="D121" s="503"/>
      <c r="E121" s="15">
        <f>'MASQUE DE SAISIE '!E61</f>
        <v>11.88</v>
      </c>
      <c r="F121" s="666"/>
      <c r="G121" s="667"/>
      <c r="H121" s="667"/>
      <c r="I121" s="667"/>
      <c r="J121" s="9"/>
    </row>
    <row r="122" spans="1:11" s="6" customFormat="1" ht="25.8" customHeight="1" x14ac:dyDescent="0.25">
      <c r="B122" s="503" t="s">
        <v>37</v>
      </c>
      <c r="C122" s="503"/>
      <c r="D122" s="503"/>
      <c r="E122" s="15">
        <f>+B9</f>
        <v>161.66999999999999</v>
      </c>
      <c r="F122" s="14"/>
      <c r="J122" s="9"/>
    </row>
    <row r="123" spans="1:11" s="6" customFormat="1" ht="25.8" customHeight="1" x14ac:dyDescent="0.25">
      <c r="B123" s="503" t="s">
        <v>38</v>
      </c>
      <c r="C123" s="503"/>
      <c r="D123" s="503"/>
      <c r="E123" s="127">
        <f>J35</f>
        <v>4051.43</v>
      </c>
      <c r="F123" s="14"/>
      <c r="J123" s="9"/>
    </row>
    <row r="124" spans="1:11" s="6" customFormat="1" ht="25.8" customHeight="1" x14ac:dyDescent="0.25">
      <c r="B124" s="503" t="s">
        <v>39</v>
      </c>
      <c r="C124" s="503"/>
      <c r="D124" s="503"/>
      <c r="E124" s="179">
        <v>45778</v>
      </c>
      <c r="J124" s="9"/>
    </row>
    <row r="125" spans="1:11" s="6" customFormat="1" ht="30.75" customHeight="1" x14ac:dyDescent="0.25">
      <c r="B125" s="454" t="s">
        <v>40</v>
      </c>
      <c r="C125" s="454"/>
      <c r="D125" s="454"/>
      <c r="E125" s="454"/>
      <c r="F125" s="454"/>
      <c r="G125" s="454"/>
      <c r="H125" s="454"/>
      <c r="I125" s="454"/>
      <c r="J125" s="454"/>
      <c r="K125" s="682"/>
    </row>
    <row r="126" spans="1:11" s="6" customFormat="1" ht="30.75" customHeight="1" x14ac:dyDescent="0.25">
      <c r="A126" s="16"/>
      <c r="B126" s="683" t="s">
        <v>38</v>
      </c>
      <c r="C126" s="683" t="s">
        <v>41</v>
      </c>
      <c r="D126" s="683" t="s">
        <v>42</v>
      </c>
      <c r="E126" s="10" t="s">
        <v>43</v>
      </c>
      <c r="F126" s="503" t="s">
        <v>44</v>
      </c>
      <c r="G126" s="503" t="s">
        <v>45</v>
      </c>
      <c r="H126" s="503" t="s">
        <v>46</v>
      </c>
      <c r="I126" s="503" t="s">
        <v>47</v>
      </c>
      <c r="J126" s="503" t="s">
        <v>48</v>
      </c>
      <c r="K126" s="498"/>
    </row>
    <row r="127" spans="1:11" s="6" customFormat="1" ht="22.2" customHeight="1" x14ac:dyDescent="0.25">
      <c r="B127" s="684"/>
      <c r="C127" s="684"/>
      <c r="D127" s="684"/>
      <c r="E127" s="684" t="s">
        <v>49</v>
      </c>
      <c r="F127" s="503"/>
      <c r="G127" s="503"/>
      <c r="H127" s="503"/>
      <c r="I127" s="503"/>
      <c r="J127" s="503"/>
      <c r="K127" s="498"/>
    </row>
    <row r="128" spans="1:11" s="6" customFormat="1" ht="30.75" customHeight="1" x14ac:dyDescent="0.25">
      <c r="B128" s="685"/>
      <c r="C128" s="685"/>
      <c r="D128" s="685"/>
      <c r="E128" s="685"/>
      <c r="F128" s="503"/>
      <c r="G128" s="503"/>
      <c r="H128" s="503"/>
      <c r="I128" s="503"/>
      <c r="J128" s="503"/>
      <c r="K128" s="498"/>
    </row>
    <row r="129" spans="1:11" s="6" customFormat="1" ht="19.8" customHeight="1" x14ac:dyDescent="0.25">
      <c r="B129" s="684">
        <f>E123</f>
        <v>4051.43</v>
      </c>
      <c r="C129" s="684">
        <f>E122</f>
        <v>161.66999999999999</v>
      </c>
      <c r="D129" s="684">
        <f>E121</f>
        <v>11.88</v>
      </c>
      <c r="E129" s="684">
        <f>1.6*D129*C129</f>
        <v>3073.0233600000001</v>
      </c>
      <c r="F129" s="684">
        <f>E129/B129</f>
        <v>0.7585033827562121</v>
      </c>
      <c r="G129" s="684">
        <f>IF(F129&lt;=1,0,F129-1)</f>
        <v>0</v>
      </c>
      <c r="H129" s="686">
        <f>ROUND(IF(E120&lt;50,(E117*G129/0.6)*100/90,(E118*G129/0.6)*100/90),4)</f>
        <v>0</v>
      </c>
      <c r="I129" s="686">
        <f>IF('MASQUE DE SAISIE '!G15=1,IF(E120&gt;50,MIN(H129,E118*100/90),MIN(H129,E117*100/90)),IF(E120&gt;50,MIN(H129,E118),MIN(H129,E117)))</f>
        <v>0</v>
      </c>
      <c r="J129" s="687">
        <f>ROUND(I129*B129,2)</f>
        <v>0</v>
      </c>
      <c r="K129" s="688"/>
    </row>
    <row r="130" spans="1:11" s="6" customFormat="1" ht="30.75" customHeight="1" x14ac:dyDescent="0.25">
      <c r="B130" s="685"/>
      <c r="C130" s="685"/>
      <c r="D130" s="685"/>
      <c r="E130" s="685"/>
      <c r="F130" s="685"/>
      <c r="G130" s="685"/>
      <c r="H130" s="685"/>
      <c r="I130" s="685"/>
      <c r="J130" s="689"/>
      <c r="K130" s="690"/>
    </row>
    <row r="131" spans="1:11" s="6" customFormat="1" ht="70.8" customHeight="1" x14ac:dyDescent="0.25">
      <c r="B131" s="9"/>
      <c r="C131" s="9"/>
      <c r="D131" s="9"/>
      <c r="E131" s="9"/>
      <c r="F131" s="9"/>
      <c r="G131" s="9"/>
      <c r="H131" s="9"/>
      <c r="I131" s="9"/>
      <c r="J131" s="323"/>
      <c r="K131" s="323"/>
    </row>
    <row r="133" spans="1:11" s="6" customFormat="1" ht="20.399999999999999" customHeight="1" x14ac:dyDescent="0.25">
      <c r="B133" s="9"/>
      <c r="C133" s="346" t="s">
        <v>427</v>
      </c>
      <c r="D133" s="347" t="s">
        <v>428</v>
      </c>
      <c r="E133" s="347" t="s">
        <v>418</v>
      </c>
      <c r="F133" s="347" t="s">
        <v>426</v>
      </c>
      <c r="G133" s="343"/>
      <c r="H133" s="343"/>
      <c r="J133" s="9"/>
    </row>
    <row r="134" spans="1:11" s="6" customFormat="1" ht="20.399999999999999" customHeight="1" x14ac:dyDescent="0.25">
      <c r="A134" s="342"/>
      <c r="B134" s="347" t="s">
        <v>414</v>
      </c>
      <c r="C134" s="9">
        <v>30</v>
      </c>
      <c r="D134" s="10">
        <v>17.5</v>
      </c>
      <c r="E134" s="10"/>
      <c r="F134" s="324"/>
      <c r="G134" s="344"/>
      <c r="H134" s="343"/>
      <c r="I134" s="9"/>
      <c r="J134" s="9"/>
    </row>
    <row r="135" spans="1:11" s="6" customFormat="1" ht="20.399999999999999" customHeight="1" x14ac:dyDescent="0.25">
      <c r="B135" s="347" t="s">
        <v>415</v>
      </c>
      <c r="C135" s="10">
        <v>30</v>
      </c>
      <c r="D135" s="10">
        <v>2.5</v>
      </c>
      <c r="E135" s="10"/>
      <c r="F135" s="324"/>
      <c r="G135" s="343"/>
      <c r="H135" s="343"/>
      <c r="I135" s="9"/>
      <c r="J135" s="9"/>
    </row>
    <row r="136" spans="1:11" s="6" customFormat="1" ht="20.399999999999999" customHeight="1" x14ac:dyDescent="0.25">
      <c r="B136" s="347" t="s">
        <v>416</v>
      </c>
      <c r="C136" s="10">
        <v>30</v>
      </c>
      <c r="D136" s="9"/>
      <c r="E136" s="10"/>
      <c r="F136" s="324"/>
      <c r="G136" s="344"/>
      <c r="H136" s="343"/>
      <c r="I136" s="9"/>
      <c r="J136" s="9"/>
    </row>
    <row r="137" spans="1:11" s="6" customFormat="1" ht="20.399999999999999" customHeight="1" x14ac:dyDescent="0.25">
      <c r="B137" s="348" t="s">
        <v>417</v>
      </c>
      <c r="C137" s="10"/>
      <c r="D137" s="10">
        <f>D134+D135-D136</f>
        <v>20</v>
      </c>
      <c r="E137" s="10"/>
      <c r="F137" s="324"/>
      <c r="G137" s="343"/>
      <c r="H137" s="343"/>
      <c r="I137" s="9"/>
      <c r="J137" s="9"/>
    </row>
    <row r="138" spans="1:11" s="6" customFormat="1" ht="20.399999999999999" customHeight="1" x14ac:dyDescent="0.25">
      <c r="B138" s="9"/>
      <c r="C138" s="349" t="s">
        <v>419</v>
      </c>
      <c r="D138" s="349" t="s">
        <v>429</v>
      </c>
      <c r="E138" s="349" t="s">
        <v>430</v>
      </c>
      <c r="F138" s="349" t="s">
        <v>422</v>
      </c>
      <c r="G138" s="349" t="s">
        <v>423</v>
      </c>
      <c r="H138" s="349" t="s">
        <v>424</v>
      </c>
      <c r="I138" s="349" t="s">
        <v>425</v>
      </c>
    </row>
    <row r="139" spans="1:11" s="6" customFormat="1" ht="20.399999999999999" customHeight="1" x14ac:dyDescent="0.25">
      <c r="B139" s="347" t="s">
        <v>420</v>
      </c>
      <c r="C139" s="345">
        <f>C35</f>
        <v>3925.0000000000005</v>
      </c>
      <c r="D139" s="363">
        <f>7*E139+10</f>
        <v>164</v>
      </c>
      <c r="E139" s="96">
        <v>22</v>
      </c>
      <c r="F139" s="345">
        <f>J35</f>
        <v>4051.43</v>
      </c>
      <c r="G139" s="345">
        <f>J34+J75</f>
        <v>6443.579999999999</v>
      </c>
      <c r="H139" s="345">
        <f>+I75</f>
        <v>938.91</v>
      </c>
      <c r="I139" s="345">
        <f>+J75</f>
        <v>2039.8499999999997</v>
      </c>
      <c r="J139" s="14"/>
    </row>
    <row r="140" spans="1:11" s="6" customFormat="1" ht="20.399999999999999" customHeight="1" x14ac:dyDescent="0.25">
      <c r="B140" s="347" t="s">
        <v>421</v>
      </c>
      <c r="C140" s="345">
        <f>C139</f>
        <v>3925.0000000000005</v>
      </c>
      <c r="D140" s="79">
        <f>+D139</f>
        <v>164</v>
      </c>
      <c r="E140" s="96">
        <v>22</v>
      </c>
      <c r="F140" s="345">
        <f>F139</f>
        <v>4051.43</v>
      </c>
      <c r="G140" s="345">
        <f>+G139</f>
        <v>6443.579999999999</v>
      </c>
      <c r="H140" s="345">
        <f>+H139</f>
        <v>938.91</v>
      </c>
      <c r="I140" s="345">
        <f>+I139</f>
        <v>2039.8499999999997</v>
      </c>
      <c r="J140" s="14"/>
    </row>
    <row r="141" spans="1:11" s="6" customFormat="1" x14ac:dyDescent="0.35">
      <c r="B141" s="14"/>
      <c r="C141" s="14"/>
      <c r="F141" s="20"/>
      <c r="G141" s="20"/>
      <c r="H141" s="20"/>
      <c r="J141" s="9"/>
    </row>
    <row r="142" spans="1:11" s="6" customFormat="1" x14ac:dyDescent="0.35">
      <c r="B142" s="14"/>
      <c r="C142" s="14"/>
      <c r="F142" s="20"/>
      <c r="G142" s="20"/>
      <c r="H142" s="20"/>
      <c r="J142" s="9"/>
    </row>
    <row r="143" spans="1:11" s="6" customFormat="1" x14ac:dyDescent="0.35">
      <c r="B143" s="14"/>
      <c r="C143" s="14"/>
      <c r="F143" s="20"/>
      <c r="G143" s="20"/>
      <c r="H143" s="20"/>
      <c r="J143" s="9"/>
    </row>
    <row r="144" spans="1:11" s="6" customFormat="1" x14ac:dyDescent="0.35">
      <c r="B144" s="14"/>
      <c r="C144" s="14"/>
      <c r="F144" s="20"/>
      <c r="G144" s="20"/>
      <c r="H144" s="20"/>
      <c r="J144" s="9"/>
    </row>
    <row r="145" spans="2:10" s="6" customFormat="1" x14ac:dyDescent="0.35">
      <c r="B145" s="14"/>
      <c r="C145" s="14"/>
      <c r="F145" s="20"/>
      <c r="G145" s="20"/>
      <c r="H145" s="20"/>
      <c r="J145" s="9"/>
    </row>
    <row r="154" spans="2:10" x14ac:dyDescent="0.35">
      <c r="C154" s="148"/>
    </row>
    <row r="155" spans="2:10" x14ac:dyDescent="0.35">
      <c r="C155" s="9"/>
    </row>
  </sheetData>
  <mergeCells count="194">
    <mergeCell ref="A56:D56"/>
    <mergeCell ref="A57:D57"/>
    <mergeCell ref="A60:D60"/>
    <mergeCell ref="A22:F22"/>
    <mergeCell ref="A49:D49"/>
    <mergeCell ref="A50:D50"/>
    <mergeCell ref="A51:D51"/>
    <mergeCell ref="A52:D52"/>
    <mergeCell ref="A53:D53"/>
    <mergeCell ref="A54:D54"/>
    <mergeCell ref="A55:D55"/>
    <mergeCell ref="A37:D37"/>
    <mergeCell ref="A36:D36"/>
    <mergeCell ref="A38:D38"/>
    <mergeCell ref="A39:D39"/>
    <mergeCell ref="A40:D40"/>
    <mergeCell ref="F105:G105"/>
    <mergeCell ref="A74:D74"/>
    <mergeCell ref="A80:H80"/>
    <mergeCell ref="A81:H81"/>
    <mergeCell ref="A75:H75"/>
    <mergeCell ref="A78:H78"/>
    <mergeCell ref="A79:H79"/>
    <mergeCell ref="A100:D100"/>
    <mergeCell ref="A101:D101"/>
    <mergeCell ref="A102:D102"/>
    <mergeCell ref="A103:D103"/>
    <mergeCell ref="A104:D104"/>
    <mergeCell ref="A105:D105"/>
    <mergeCell ref="B92:C92"/>
    <mergeCell ref="B93:C93"/>
    <mergeCell ref="B94:C94"/>
    <mergeCell ref="B95:C95"/>
    <mergeCell ref="B96:C96"/>
    <mergeCell ref="A99:J99"/>
    <mergeCell ref="B89:C89"/>
    <mergeCell ref="E89:F89"/>
    <mergeCell ref="G89:K89"/>
    <mergeCell ref="F100:G100"/>
    <mergeCell ref="F101:G101"/>
    <mergeCell ref="F104:G104"/>
    <mergeCell ref="F103:G103"/>
    <mergeCell ref="F64:G64"/>
    <mergeCell ref="F102:G102"/>
    <mergeCell ref="B91:C91"/>
    <mergeCell ref="A84:H84"/>
    <mergeCell ref="A85:H85"/>
    <mergeCell ref="A86:H86"/>
    <mergeCell ref="E82:F82"/>
    <mergeCell ref="G82:H82"/>
    <mergeCell ref="E83:F83"/>
    <mergeCell ref="G83:H83"/>
    <mergeCell ref="A82:D83"/>
    <mergeCell ref="A69:D69"/>
    <mergeCell ref="A70:D70"/>
    <mergeCell ref="A71:D71"/>
    <mergeCell ref="A72:D72"/>
    <mergeCell ref="A67:D67"/>
    <mergeCell ref="A68:D68"/>
    <mergeCell ref="E65:F65"/>
    <mergeCell ref="E66:F66"/>
    <mergeCell ref="E67:F67"/>
    <mergeCell ref="E68:F68"/>
    <mergeCell ref="I129:I130"/>
    <mergeCell ref="J129:K130"/>
    <mergeCell ref="I126:I128"/>
    <mergeCell ref="J126:K128"/>
    <mergeCell ref="E127:E128"/>
    <mergeCell ref="B129:B130"/>
    <mergeCell ref="C129:C130"/>
    <mergeCell ref="D129:D130"/>
    <mergeCell ref="E129:E130"/>
    <mergeCell ref="F129:F130"/>
    <mergeCell ref="G129:G130"/>
    <mergeCell ref="H129:H130"/>
    <mergeCell ref="B122:D122"/>
    <mergeCell ref="B123:D123"/>
    <mergeCell ref="B124:D124"/>
    <mergeCell ref="B125:K125"/>
    <mergeCell ref="B126:B128"/>
    <mergeCell ref="C126:C128"/>
    <mergeCell ref="D126:D128"/>
    <mergeCell ref="F126:F128"/>
    <mergeCell ref="G126:G128"/>
    <mergeCell ref="H126:H128"/>
    <mergeCell ref="B116:K116"/>
    <mergeCell ref="B117:D117"/>
    <mergeCell ref="B118:D118"/>
    <mergeCell ref="B119:D119"/>
    <mergeCell ref="B120:D120"/>
    <mergeCell ref="B121:D121"/>
    <mergeCell ref="F121:I121"/>
    <mergeCell ref="A106:D106"/>
    <mergeCell ref="A107:D107"/>
    <mergeCell ref="A108:D108"/>
    <mergeCell ref="A110:D110"/>
    <mergeCell ref="A111:H111"/>
    <mergeCell ref="B115:K115"/>
    <mergeCell ref="F106:G106"/>
    <mergeCell ref="F107:G107"/>
    <mergeCell ref="F110:G110"/>
    <mergeCell ref="F108:G108"/>
    <mergeCell ref="A109:D109"/>
    <mergeCell ref="F109:G109"/>
    <mergeCell ref="A112:H112"/>
    <mergeCell ref="A61:D61"/>
    <mergeCell ref="A62:D62"/>
    <mergeCell ref="A63:D63"/>
    <mergeCell ref="A64:D64"/>
    <mergeCell ref="A65:D65"/>
    <mergeCell ref="A66:D66"/>
    <mergeCell ref="A76:H76"/>
    <mergeCell ref="A77:H77"/>
    <mergeCell ref="A58:D58"/>
    <mergeCell ref="A59:D59"/>
    <mergeCell ref="E58:F58"/>
    <mergeCell ref="E59:F59"/>
    <mergeCell ref="E71:F71"/>
    <mergeCell ref="E72:F72"/>
    <mergeCell ref="E73:F73"/>
    <mergeCell ref="E70:F70"/>
    <mergeCell ref="E74:F74"/>
    <mergeCell ref="E60:F60"/>
    <mergeCell ref="E61:F61"/>
    <mergeCell ref="E62:F62"/>
    <mergeCell ref="E63:F63"/>
    <mergeCell ref="M45:O45"/>
    <mergeCell ref="M46:N46"/>
    <mergeCell ref="A45:D45"/>
    <mergeCell ref="A46:D46"/>
    <mergeCell ref="A47:D47"/>
    <mergeCell ref="A48:D48"/>
    <mergeCell ref="L41:L42"/>
    <mergeCell ref="A41:D41"/>
    <mergeCell ref="A42:D42"/>
    <mergeCell ref="A43:D43"/>
    <mergeCell ref="A44:D44"/>
    <mergeCell ref="E36:F36"/>
    <mergeCell ref="A31:F31"/>
    <mergeCell ref="A32:F32"/>
    <mergeCell ref="A33:F33"/>
    <mergeCell ref="A34:F34"/>
    <mergeCell ref="A35:B35"/>
    <mergeCell ref="D35:I35"/>
    <mergeCell ref="A23:F23"/>
    <mergeCell ref="A24:F24"/>
    <mergeCell ref="A25:F25"/>
    <mergeCell ref="A28:F28"/>
    <mergeCell ref="A29:F29"/>
    <mergeCell ref="A30:F30"/>
    <mergeCell ref="A27:F27"/>
    <mergeCell ref="A26:F26"/>
    <mergeCell ref="A16:F16"/>
    <mergeCell ref="A17:F17"/>
    <mergeCell ref="A18:F18"/>
    <mergeCell ref="A19:F19"/>
    <mergeCell ref="A20:F20"/>
    <mergeCell ref="A21:F21"/>
    <mergeCell ref="B10:D10"/>
    <mergeCell ref="A11:F11"/>
    <mergeCell ref="A12:F12"/>
    <mergeCell ref="A13:F13"/>
    <mergeCell ref="A14:F14"/>
    <mergeCell ref="A15:F15"/>
    <mergeCell ref="A1:J1"/>
    <mergeCell ref="A2:D2"/>
    <mergeCell ref="F2:J2"/>
    <mergeCell ref="B6:D6"/>
    <mergeCell ref="B7:D7"/>
    <mergeCell ref="G7:J7"/>
    <mergeCell ref="B8:D8"/>
    <mergeCell ref="G8:J8"/>
    <mergeCell ref="F9:G9"/>
    <mergeCell ref="B3:D3"/>
    <mergeCell ref="G3:J3"/>
    <mergeCell ref="A4:A5"/>
    <mergeCell ref="B4:D5"/>
    <mergeCell ref="G4:J4"/>
    <mergeCell ref="G5:H5"/>
    <mergeCell ref="E50:F50"/>
    <mergeCell ref="E51:F51"/>
    <mergeCell ref="E52:F52"/>
    <mergeCell ref="E53:F53"/>
    <mergeCell ref="E38:F38"/>
    <mergeCell ref="E40:F40"/>
    <mergeCell ref="E41:F41"/>
    <mergeCell ref="E42:F42"/>
    <mergeCell ref="E43:F43"/>
    <mergeCell ref="E44:F44"/>
    <mergeCell ref="E45:F45"/>
    <mergeCell ref="E47:F47"/>
    <mergeCell ref="E48:F48"/>
    <mergeCell ref="E39:F39"/>
    <mergeCell ref="E46:F46"/>
  </mergeCells>
  <dataValidations count="1">
    <dataValidation operator="equal" allowBlank="1" showErrorMessage="1" errorTitle="Smic minimum" error="attention tatal brut au minimum égal au smic pour 151,67 h" sqref="J34" xr:uid="{E4CDE5E8-E1B7-46C5-900D-46D377CB2CA1}">
      <formula1>0</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landscape" horizontalDpi="4294967293"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94D4B-6D80-4A7C-8909-B4F099A35A4B}">
  <dimension ref="A2:P203"/>
  <sheetViews>
    <sheetView showGridLines="0" workbookViewId="0">
      <selection activeCell="O35" sqref="O35"/>
    </sheetView>
  </sheetViews>
  <sheetFormatPr baseColWidth="10" defaultRowHeight="14.4" x14ac:dyDescent="0.3"/>
  <cols>
    <col min="3" max="4" width="8.109375" customWidth="1"/>
    <col min="5" max="5" width="16.77734375" customWidth="1"/>
    <col min="6" max="6" width="15.44140625" customWidth="1"/>
    <col min="7" max="7" width="8.109375" customWidth="1"/>
    <col min="8" max="8" width="10.109375" customWidth="1"/>
    <col min="9" max="9" width="13.77734375" customWidth="1"/>
    <col min="10" max="11" width="16.6640625" customWidth="1"/>
    <col min="12" max="12" width="16.21875" customWidth="1"/>
    <col min="13" max="14" width="16.6640625" hidden="1" customWidth="1"/>
    <col min="15" max="15" width="16.6640625" customWidth="1"/>
    <col min="16" max="17" width="13.6640625" customWidth="1"/>
  </cols>
  <sheetData>
    <row r="2" spans="1:15" s="6" customFormat="1" ht="13.8" x14ac:dyDescent="0.25">
      <c r="A2" s="223" t="s">
        <v>321</v>
      </c>
      <c r="C2" s="440" t="s">
        <v>5</v>
      </c>
      <c r="D2" s="440"/>
      <c r="E2" s="441">
        <f>'BP CORRECTION  '!J11</f>
        <v>1876</v>
      </c>
      <c r="H2" s="223" t="s">
        <v>332</v>
      </c>
      <c r="J2" s="440" t="s">
        <v>333</v>
      </c>
      <c r="K2" s="440"/>
      <c r="L2" s="441">
        <f>E2</f>
        <v>1876</v>
      </c>
    </row>
    <row r="3" spans="1:15" s="6" customFormat="1" ht="13.8" x14ac:dyDescent="0.25">
      <c r="B3" s="223"/>
      <c r="C3" s="440" t="s">
        <v>359</v>
      </c>
      <c r="D3" s="440"/>
      <c r="E3" s="441">
        <f>'BP CORRECTION  '!J21</f>
        <v>0</v>
      </c>
      <c r="J3" s="440" t="s">
        <v>334</v>
      </c>
      <c r="K3" s="440"/>
      <c r="L3" s="441">
        <f>-'BP CORRECTION  '!I75</f>
        <v>-938.91</v>
      </c>
    </row>
    <row r="4" spans="1:15" s="6" customFormat="1" ht="13.8" x14ac:dyDescent="0.25">
      <c r="B4" s="223"/>
      <c r="C4" s="440" t="s">
        <v>358</v>
      </c>
      <c r="D4" s="440"/>
      <c r="E4" s="441">
        <f>'BP CORRECTION  '!J22</f>
        <v>0</v>
      </c>
      <c r="I4" s="14" t="s">
        <v>354</v>
      </c>
      <c r="J4" s="440" t="s">
        <v>346</v>
      </c>
      <c r="K4" s="440"/>
      <c r="L4" s="441">
        <v>2000</v>
      </c>
    </row>
    <row r="5" spans="1:15" s="6" customFormat="1" ht="13.8" x14ac:dyDescent="0.25">
      <c r="C5" s="440" t="s">
        <v>450</v>
      </c>
      <c r="D5" s="440"/>
      <c r="E5" s="441">
        <f>'BP CORRECTION  '!J16+'BP CORRECTION  '!J17+'BP CORRECTION  '!J18+'BP CORRECTION  '!J19+'BP CORRECTION  '!J20</f>
        <v>154.61000000000001</v>
      </c>
      <c r="J5" s="440" t="s">
        <v>450</v>
      </c>
      <c r="K5" s="442"/>
      <c r="L5" s="441">
        <f>E5</f>
        <v>154.61000000000001</v>
      </c>
    </row>
    <row r="6" spans="1:15" s="6" customFormat="1" ht="13.8" x14ac:dyDescent="0.25">
      <c r="C6" s="440" t="s">
        <v>50</v>
      </c>
      <c r="D6" s="440"/>
      <c r="E6" s="441">
        <f>+'BP CORRECTION  '!J29</f>
        <v>117.92</v>
      </c>
      <c r="J6" s="440" t="s">
        <v>209</v>
      </c>
      <c r="K6" s="440"/>
      <c r="L6" s="441">
        <f>E6</f>
        <v>117.92</v>
      </c>
    </row>
    <row r="7" spans="1:15" s="6" customFormat="1" ht="13.8" x14ac:dyDescent="0.25">
      <c r="C7" s="440" t="s">
        <v>0</v>
      </c>
      <c r="D7" s="440"/>
      <c r="E7" s="441">
        <f>' ENONCE ET CORRIGE '!E83</f>
        <v>28.6</v>
      </c>
      <c r="F7" s="6" t="s">
        <v>324</v>
      </c>
      <c r="J7" s="440" t="s">
        <v>362</v>
      </c>
      <c r="K7" s="440"/>
      <c r="L7" s="441">
        <f>E7</f>
        <v>28.6</v>
      </c>
    </row>
    <row r="8" spans="1:15" s="6" customFormat="1" ht="13.8" x14ac:dyDescent="0.25">
      <c r="C8" s="440" t="s">
        <v>0</v>
      </c>
      <c r="D8" s="440"/>
      <c r="E8" s="440">
        <f>' ENONCE ET CORRIGE '!D83</f>
        <v>226.60000000000002</v>
      </c>
      <c r="J8" s="223" t="s">
        <v>332</v>
      </c>
      <c r="L8" s="303">
        <f>SUM(L2:L7)</f>
        <v>3238.2200000000003</v>
      </c>
      <c r="N8" s="225"/>
    </row>
    <row r="9" spans="1:15" s="6" customFormat="1" ht="13.8" x14ac:dyDescent="0.25">
      <c r="C9" s="440" t="s">
        <v>363</v>
      </c>
      <c r="D9" s="440"/>
      <c r="E9" s="441"/>
      <c r="M9" s="225"/>
    </row>
    <row r="10" spans="1:15" s="6" customFormat="1" ht="13.8" x14ac:dyDescent="0.25">
      <c r="C10" s="440" t="s">
        <v>363</v>
      </c>
      <c r="D10" s="440"/>
      <c r="E10" s="441">
        <f>+'BP CORRECTION  '!J32</f>
        <v>0</v>
      </c>
    </row>
    <row r="11" spans="1:15" s="6" customFormat="1" ht="13.8" x14ac:dyDescent="0.25">
      <c r="C11" s="440" t="s">
        <v>346</v>
      </c>
      <c r="D11" s="442"/>
      <c r="E11" s="441">
        <f>'BP CORRECTION  '!J33</f>
        <v>2000</v>
      </c>
      <c r="I11" s="14" t="s">
        <v>354</v>
      </c>
      <c r="J11" s="6" t="s">
        <v>400</v>
      </c>
    </row>
    <row r="12" spans="1:15" s="6" customFormat="1" ht="13.8" x14ac:dyDescent="0.25">
      <c r="C12" s="440" t="s">
        <v>325</v>
      </c>
      <c r="D12" s="440"/>
      <c r="E12" s="441">
        <f>SUM(E2:E11)</f>
        <v>4403.7299999999996</v>
      </c>
    </row>
    <row r="13" spans="1:15" s="6" customFormat="1" ht="13.8" hidden="1" x14ac:dyDescent="0.25">
      <c r="C13" s="440" t="s">
        <v>266</v>
      </c>
      <c r="D13" s="440"/>
      <c r="E13" s="441"/>
    </row>
    <row r="14" spans="1:15" s="6" customFormat="1" ht="13.8" hidden="1" x14ac:dyDescent="0.25">
      <c r="C14" s="440" t="s">
        <v>436</v>
      </c>
      <c r="D14" s="440"/>
      <c r="E14" s="441">
        <f>'BP CORRECTION  '!I77</f>
        <v>0</v>
      </c>
    </row>
    <row r="15" spans="1:15" s="6" customFormat="1" ht="21" customHeight="1" x14ac:dyDescent="0.25">
      <c r="C15" s="440" t="s">
        <v>561</v>
      </c>
      <c r="D15" s="440"/>
      <c r="E15" s="441">
        <f>-'BP CORRECTION  '!I75</f>
        <v>-938.91</v>
      </c>
    </row>
    <row r="16" spans="1:15" s="6" customFormat="1" ht="25.8" customHeight="1" x14ac:dyDescent="0.25">
      <c r="C16" s="522" t="s">
        <v>321</v>
      </c>
      <c r="D16" s="522"/>
      <c r="E16" s="443">
        <f>SUM(E12:E15)</f>
        <v>3464.8199999999997</v>
      </c>
      <c r="J16" s="495" t="s">
        <v>368</v>
      </c>
      <c r="K16" s="495"/>
      <c r="L16" s="495"/>
      <c r="M16" s="495"/>
      <c r="N16" s="495"/>
      <c r="O16" s="495"/>
    </row>
    <row r="17" spans="1:15" s="6" customFormat="1" ht="9.6" customHeight="1" x14ac:dyDescent="0.25"/>
    <row r="18" spans="1:15" s="6" customFormat="1" ht="13.8" hidden="1" x14ac:dyDescent="0.25">
      <c r="A18" s="6" t="s">
        <v>323</v>
      </c>
    </row>
    <row r="19" spans="1:15" s="6" customFormat="1" ht="16.2" customHeight="1" x14ac:dyDescent="0.25">
      <c r="M19" s="440" t="s">
        <v>5</v>
      </c>
      <c r="N19" s="440"/>
      <c r="O19" s="441">
        <f>E2</f>
        <v>1876</v>
      </c>
    </row>
    <row r="20" spans="1:15" s="6" customFormat="1" ht="13.8" x14ac:dyDescent="0.25">
      <c r="A20" s="223"/>
      <c r="C20" s="496" t="s">
        <v>321</v>
      </c>
      <c r="D20" s="496"/>
      <c r="E20" s="441">
        <f>+E16</f>
        <v>3464.8199999999997</v>
      </c>
      <c r="M20" s="440" t="s">
        <v>359</v>
      </c>
      <c r="N20" s="440"/>
      <c r="O20" s="441">
        <f>E3</f>
        <v>0</v>
      </c>
    </row>
    <row r="21" spans="1:15" s="6" customFormat="1" ht="13.8" x14ac:dyDescent="0.25">
      <c r="B21" s="6" t="s">
        <v>450</v>
      </c>
      <c r="E21" s="441">
        <f>-E5</f>
        <v>-154.61000000000001</v>
      </c>
      <c r="M21" s="440" t="s">
        <v>358</v>
      </c>
      <c r="N21" s="440"/>
      <c r="O21" s="441">
        <f>E4</f>
        <v>0</v>
      </c>
    </row>
    <row r="22" spans="1:15" s="6" customFormat="1" ht="14.4" customHeight="1" x14ac:dyDescent="0.25">
      <c r="B22" s="6" t="s">
        <v>364</v>
      </c>
      <c r="E22" s="441"/>
      <c r="J22" s="496" t="s">
        <v>367</v>
      </c>
      <c r="K22" s="496"/>
      <c r="L22" s="496"/>
      <c r="M22" s="440" t="s">
        <v>366</v>
      </c>
      <c r="N22" s="440"/>
      <c r="O22" s="441"/>
    </row>
    <row r="23" spans="1:15" s="6" customFormat="1" ht="13.8" x14ac:dyDescent="0.25">
      <c r="A23" s="16" t="s">
        <v>330</v>
      </c>
      <c r="E23" s="441">
        <f>-E8</f>
        <v>-226.60000000000002</v>
      </c>
      <c r="M23" s="440" t="s">
        <v>50</v>
      </c>
      <c r="N23" s="440"/>
      <c r="O23" s="441">
        <f>'BP CORRECTION  '!J29</f>
        <v>117.92</v>
      </c>
    </row>
    <row r="24" spans="1:15" s="6" customFormat="1" ht="14.4" customHeight="1" x14ac:dyDescent="0.25">
      <c r="B24" s="6" t="s">
        <v>362</v>
      </c>
      <c r="E24" s="441"/>
      <c r="J24" s="16"/>
      <c r="M24" s="440" t="s">
        <v>0</v>
      </c>
      <c r="N24" s="440"/>
      <c r="O24" s="441"/>
    </row>
    <row r="25" spans="1:15" s="6" customFormat="1" ht="13.8" x14ac:dyDescent="0.25">
      <c r="B25" s="6" t="s">
        <v>209</v>
      </c>
      <c r="E25" s="441">
        <f>E9</f>
        <v>0</v>
      </c>
      <c r="J25" s="16"/>
      <c r="K25" s="16"/>
      <c r="L25" s="16"/>
      <c r="M25" s="440" t="s">
        <v>0</v>
      </c>
      <c r="N25" s="440"/>
      <c r="O25" s="441">
        <f>'BP CORRECTION  '!J30</f>
        <v>28.6</v>
      </c>
    </row>
    <row r="26" spans="1:15" s="6" customFormat="1" ht="13.8" x14ac:dyDescent="0.25">
      <c r="E26" s="441"/>
      <c r="F26" s="223"/>
      <c r="M26" s="440" t="s">
        <v>363</v>
      </c>
      <c r="N26" s="440"/>
      <c r="O26" s="441"/>
    </row>
    <row r="27" spans="1:15" s="6" customFormat="1" ht="12.6" customHeight="1" x14ac:dyDescent="0.25">
      <c r="B27" s="6" t="s">
        <v>328</v>
      </c>
      <c r="E27" s="441">
        <f>'BP CORRECTION  '!I66</f>
        <v>117.38</v>
      </c>
      <c r="M27" s="440" t="s">
        <v>363</v>
      </c>
      <c r="N27" s="440"/>
      <c r="O27" s="441"/>
    </row>
    <row r="28" spans="1:15" s="6" customFormat="1" ht="13.8" hidden="1" x14ac:dyDescent="0.25">
      <c r="E28" s="441"/>
      <c r="M28" s="441" t="s">
        <v>346</v>
      </c>
      <c r="N28" s="440"/>
      <c r="O28" s="441">
        <f>' ENONCE ET CORRIGE '!D45</f>
        <v>2000</v>
      </c>
    </row>
    <row r="29" spans="1:15" s="6" customFormat="1" ht="12.6" customHeight="1" x14ac:dyDescent="0.25">
      <c r="B29" s="6" t="s">
        <v>326</v>
      </c>
      <c r="E29" s="441">
        <f>'BP CORRECTION  '!I67</f>
        <v>10.33</v>
      </c>
      <c r="M29" s="441"/>
      <c r="N29" s="440"/>
      <c r="O29" s="441">
        <f>SUM(O19:O28)</f>
        <v>4022.52</v>
      </c>
    </row>
    <row r="30" spans="1:15" s="6" customFormat="1" ht="13.8" hidden="1" x14ac:dyDescent="0.25">
      <c r="E30" s="441"/>
      <c r="M30" s="442"/>
      <c r="N30" s="442"/>
      <c r="O30" s="442"/>
    </row>
    <row r="31" spans="1:15" s="6" customFormat="1" ht="12.6" customHeight="1" x14ac:dyDescent="0.25">
      <c r="B31" s="6" t="s">
        <v>327</v>
      </c>
      <c r="E31" s="441">
        <f>'BP CORRECTION  '!I68</f>
        <v>4.41</v>
      </c>
      <c r="M31" s="440" t="s">
        <v>365</v>
      </c>
      <c r="N31" s="440"/>
      <c r="O31" s="440">
        <f>ROUND(O29*0.9825,2)</f>
        <v>3952.13</v>
      </c>
    </row>
    <row r="32" spans="1:15" s="6" customFormat="1" ht="13.8" hidden="1" x14ac:dyDescent="0.25">
      <c r="B32" s="444"/>
      <c r="E32" s="441">
        <f>-E13</f>
        <v>0</v>
      </c>
      <c r="M32" s="446"/>
      <c r="N32" s="446"/>
      <c r="O32" s="446"/>
    </row>
    <row r="33" spans="2:16" s="6" customFormat="1" ht="13.8" x14ac:dyDescent="0.25">
      <c r="B33" s="444" t="s">
        <v>559</v>
      </c>
      <c r="E33" s="441">
        <f>0.01%*'BP CORRECTION  '!E74</f>
        <v>0.40514299999999998</v>
      </c>
      <c r="M33" s="440"/>
      <c r="N33" s="440"/>
      <c r="O33" s="440"/>
    </row>
    <row r="34" spans="2:16" s="6" customFormat="1" ht="13.8" x14ac:dyDescent="0.25">
      <c r="B34" s="6" t="s">
        <v>329</v>
      </c>
      <c r="E34" s="445">
        <f>'BP CORRECTION  '!J40</f>
        <v>50</v>
      </c>
      <c r="K34" s="225"/>
      <c r="M34" s="224"/>
      <c r="O34" s="445">
        <f>'BP CORRECTION  '!J40</f>
        <v>50</v>
      </c>
    </row>
    <row r="35" spans="2:16" s="6" customFormat="1" ht="21.6" customHeight="1" x14ac:dyDescent="0.25">
      <c r="C35" s="522" t="s">
        <v>220</v>
      </c>
      <c r="D35" s="522"/>
      <c r="E35" s="443">
        <f>SUM(E20:E34)</f>
        <v>3266.1351429999995</v>
      </c>
      <c r="F35" s="225"/>
      <c r="G35" s="225"/>
      <c r="J35" s="6" t="s">
        <v>514</v>
      </c>
      <c r="M35" s="226">
        <v>1.12E-2</v>
      </c>
      <c r="N35" s="14" t="s">
        <v>354</v>
      </c>
      <c r="O35" s="445">
        <f>IF('MASQUE DE SAISIE '!E38=1,IF('BP CORRECTION  '!H74&gt;1.12%,'BP CORRECTION  '!E74*1.12%,'BP CORRECTION  '!E74*'BP CORRECTION  '!H74),IF('BP CORRECTION  '!H74&gt;1.12%,'BP CORRECTION  '!E74*1.12%,'BP CORRECTION  '!E74*'BP CORRECTION  '!H74))</f>
        <v>45.376016000000007</v>
      </c>
    </row>
    <row r="36" spans="2:16" s="6" customFormat="1" ht="13.8" x14ac:dyDescent="0.25">
      <c r="O36" s="447">
        <f>ROUND(SUM(O31:O35),2)</f>
        <v>4047.51</v>
      </c>
    </row>
    <row r="37" spans="2:16" s="6" customFormat="1" ht="13.8" x14ac:dyDescent="0.25">
      <c r="B37" s="6" t="s">
        <v>331</v>
      </c>
      <c r="F37" s="225">
        <f>'BP CORRECTION  '!J16+'BP CORRECTION  '!J17+'BP CORRECTION  '!J18+'BP CORRECTION  '!J19+'BP CORRECTION  '!J20</f>
        <v>154.61000000000001</v>
      </c>
    </row>
    <row r="38" spans="2:16" s="6" customFormat="1" ht="13.8" customHeight="1" x14ac:dyDescent="0.25">
      <c r="B38" s="6" t="s">
        <v>67</v>
      </c>
      <c r="F38" s="225">
        <f>-'BP CORRECTION  '!I67</f>
        <v>-10.33</v>
      </c>
      <c r="I38" s="14"/>
      <c r="J38" s="526"/>
      <c r="K38" s="526"/>
      <c r="L38" s="526"/>
      <c r="M38" s="526"/>
      <c r="N38" s="526"/>
      <c r="O38" s="526"/>
    </row>
    <row r="39" spans="2:16" s="6" customFormat="1" ht="13.8" customHeight="1" x14ac:dyDescent="0.25">
      <c r="F39" s="303">
        <f>SUM(F37:F38)</f>
        <v>144.28</v>
      </c>
      <c r="G39" s="6" t="s">
        <v>562</v>
      </c>
      <c r="J39" s="526"/>
      <c r="K39" s="526"/>
      <c r="L39" s="526"/>
      <c r="M39" s="526"/>
      <c r="N39" s="526"/>
      <c r="O39" s="526"/>
    </row>
    <row r="40" spans="2:16" s="6" customFormat="1" ht="13.8" x14ac:dyDescent="0.25">
      <c r="J40" s="526"/>
      <c r="K40" s="526"/>
      <c r="L40" s="526"/>
      <c r="M40" s="526"/>
      <c r="N40" s="526"/>
      <c r="O40" s="526"/>
    </row>
    <row r="41" spans="2:16" s="6" customFormat="1" ht="13.8" x14ac:dyDescent="0.25">
      <c r="B41" s="221">
        <v>45778</v>
      </c>
      <c r="C41" s="6" t="s">
        <v>336</v>
      </c>
    </row>
    <row r="42" spans="2:16" s="6" customFormat="1" ht="13.8" x14ac:dyDescent="0.25">
      <c r="B42" s="222">
        <f>ROUND(IF('MASQUE DE SAISIE '!G9&lt;20,IF('BP CORRECTION  '!H9&lt;B41,('BP CORRECTION  '!G18+'BP CORRECTION  '!G19+'BP CORRECTION  '!G20)*1.5,0),IF('MASQUE DE SAISIE '!G9&gt;=250,0,0.5*('BP CORRECTION  '!G18+'BP CORRECTION  '!G19+'BP CORRECTION  '!G20))),2)</f>
        <v>15</v>
      </c>
      <c r="C42" s="6" t="s">
        <v>451</v>
      </c>
      <c r="L42" s="6" t="s">
        <v>500</v>
      </c>
    </row>
    <row r="43" spans="2:16" s="6" customFormat="1" ht="13.8" x14ac:dyDescent="0.25">
      <c r="B43" s="222"/>
      <c r="C43" s="6" t="s">
        <v>452</v>
      </c>
    </row>
    <row r="44" spans="2:16" s="6" customFormat="1" ht="13.8" x14ac:dyDescent="0.25"/>
    <row r="45" spans="2:16" s="6" customFormat="1" ht="18" x14ac:dyDescent="0.35">
      <c r="B45" s="223" t="s">
        <v>546</v>
      </c>
      <c r="C45" s="224">
        <f>-MIN(J47,J46)</f>
        <v>0</v>
      </c>
      <c r="D45" s="6" t="s">
        <v>345</v>
      </c>
      <c r="E45" s="6" t="s">
        <v>501</v>
      </c>
      <c r="H45" s="509" t="s">
        <v>485</v>
      </c>
      <c r="I45" s="509"/>
      <c r="J45" s="148"/>
      <c r="M45"/>
      <c r="N45"/>
      <c r="O45" s="17"/>
      <c r="P45" s="17"/>
    </row>
    <row r="46" spans="2:16" s="6" customFormat="1" ht="18" x14ac:dyDescent="0.35">
      <c r="C46" s="6">
        <f>-B42</f>
        <v>-15</v>
      </c>
      <c r="J46" s="425"/>
      <c r="K46" s="426"/>
      <c r="M46"/>
      <c r="O46" s="17"/>
      <c r="P46" s="17"/>
    </row>
    <row r="47" spans="2:16" s="6" customFormat="1" ht="18" x14ac:dyDescent="0.35">
      <c r="C47" s="304">
        <f>SUM(C45:C46)</f>
        <v>-15</v>
      </c>
      <c r="H47" s="6" t="s">
        <v>545</v>
      </c>
      <c r="J47" s="427">
        <f>'BP CORRECTION  '!J129</f>
        <v>0</v>
      </c>
      <c r="K47" s="11"/>
      <c r="L47" s="11"/>
      <c r="M47"/>
      <c r="N47"/>
      <c r="O47" s="17"/>
      <c r="P47" s="17"/>
    </row>
    <row r="48" spans="2:16" s="6" customFormat="1" ht="18" x14ac:dyDescent="0.35">
      <c r="C48" s="316"/>
      <c r="K48" s="11"/>
      <c r="L48" s="11"/>
      <c r="M48"/>
      <c r="N48"/>
      <c r="O48" s="17"/>
      <c r="P48" s="17"/>
    </row>
    <row r="49" spans="1:5" s="6" customFormat="1" ht="13.8" x14ac:dyDescent="0.25">
      <c r="C49" s="316"/>
    </row>
    <row r="50" spans="1:5" s="6" customFormat="1" ht="13.8" x14ac:dyDescent="0.25">
      <c r="A50" s="6" t="s">
        <v>354</v>
      </c>
      <c r="C50" s="316"/>
    </row>
    <row r="51" spans="1:5" s="6" customFormat="1" ht="13.8" x14ac:dyDescent="0.25">
      <c r="C51" s="316"/>
    </row>
    <row r="52" spans="1:5" s="6" customFormat="1" ht="13.8" x14ac:dyDescent="0.25">
      <c r="C52" s="316"/>
    </row>
    <row r="53" spans="1:5" s="6" customFormat="1" ht="13.8" x14ac:dyDescent="0.25">
      <c r="C53" s="316"/>
    </row>
    <row r="54" spans="1:5" s="6" customFormat="1" ht="13.8" x14ac:dyDescent="0.25">
      <c r="C54" s="316"/>
    </row>
    <row r="55" spans="1:5" s="6" customFormat="1" ht="13.8" x14ac:dyDescent="0.25">
      <c r="C55" s="316"/>
    </row>
    <row r="56" spans="1:5" s="6" customFormat="1" ht="13.8" hidden="1" x14ac:dyDescent="0.25">
      <c r="C56" s="316"/>
    </row>
    <row r="57" spans="1:5" s="6" customFormat="1" ht="13.8" hidden="1" x14ac:dyDescent="0.25">
      <c r="C57" s="316"/>
    </row>
    <row r="58" spans="1:5" s="6" customFormat="1" ht="13.8" hidden="1" x14ac:dyDescent="0.25">
      <c r="C58" s="316"/>
    </row>
    <row r="59" spans="1:5" s="6" customFormat="1" ht="17.399999999999999" hidden="1" customHeight="1" x14ac:dyDescent="0.25">
      <c r="A59" s="496" t="s">
        <v>385</v>
      </c>
      <c r="B59" s="496"/>
      <c r="C59" s="496"/>
      <c r="D59" s="496"/>
      <c r="E59" s="496"/>
    </row>
    <row r="60" spans="1:5" s="6" customFormat="1" ht="13.8" hidden="1" x14ac:dyDescent="0.25">
      <c r="C60" s="316"/>
    </row>
    <row r="61" spans="1:5" s="6" customFormat="1" ht="24" hidden="1" customHeight="1" x14ac:dyDescent="0.25">
      <c r="A61" s="525" t="s">
        <v>54</v>
      </c>
      <c r="B61" s="525"/>
      <c r="C61" s="525"/>
      <c r="D61" s="525"/>
      <c r="E61" s="254">
        <f>'BP CORRECTION  '!E54</f>
        <v>0</v>
      </c>
    </row>
    <row r="62" spans="1:5" s="6" customFormat="1" ht="24" hidden="1" customHeight="1" x14ac:dyDescent="0.25">
      <c r="A62" s="525" t="s">
        <v>52</v>
      </c>
      <c r="B62" s="525"/>
      <c r="C62" s="525"/>
      <c r="D62" s="525"/>
      <c r="E62" s="254">
        <f>'BP CORRECTION  '!E55</f>
        <v>0</v>
      </c>
    </row>
    <row r="63" spans="1:5" s="6" customFormat="1" ht="24" hidden="1" customHeight="1" x14ac:dyDescent="0.25">
      <c r="A63" s="525" t="s">
        <v>53</v>
      </c>
      <c r="B63" s="525"/>
      <c r="C63" s="525"/>
      <c r="D63" s="525"/>
      <c r="E63" s="254">
        <f>'BP CORRECTION  '!E56</f>
        <v>0</v>
      </c>
    </row>
    <row r="64" spans="1:5" s="6" customFormat="1" ht="24" hidden="1" customHeight="1" x14ac:dyDescent="0.25">
      <c r="A64" s="525" t="s">
        <v>20</v>
      </c>
      <c r="B64" s="525"/>
      <c r="C64" s="525"/>
      <c r="D64" s="525"/>
      <c r="E64" s="254">
        <f>'BP CORRECTION  '!E57</f>
        <v>0</v>
      </c>
    </row>
    <row r="65" spans="1:5" ht="16.8" hidden="1" customHeight="1" x14ac:dyDescent="0.3">
      <c r="A65" s="523" t="s">
        <v>1</v>
      </c>
      <c r="B65" s="523"/>
      <c r="C65" s="523"/>
      <c r="D65" s="523"/>
      <c r="E65" s="231"/>
    </row>
    <row r="66" spans="1:5" ht="21" hidden="1" customHeight="1" x14ac:dyDescent="0.3">
      <c r="A66" s="523" t="s">
        <v>23</v>
      </c>
      <c r="B66" s="523"/>
      <c r="C66" s="523"/>
      <c r="D66" s="523"/>
      <c r="E66" s="231">
        <f>'BP CORRECTION  '!E60</f>
        <v>2030.6100000000001</v>
      </c>
    </row>
    <row r="67" spans="1:5" ht="21" hidden="1" customHeight="1" x14ac:dyDescent="0.3">
      <c r="A67" s="523" t="s">
        <v>2</v>
      </c>
      <c r="B67" s="523"/>
      <c r="C67" s="523"/>
      <c r="D67" s="523"/>
      <c r="E67" s="231">
        <f>'BP CORRECTION  '!E61</f>
        <v>2030.6100000000001</v>
      </c>
    </row>
    <row r="68" spans="1:5" ht="21" hidden="1" customHeight="1" x14ac:dyDescent="0.3">
      <c r="A68" s="523" t="s">
        <v>3</v>
      </c>
      <c r="B68" s="523"/>
      <c r="C68" s="523"/>
      <c r="D68" s="523"/>
      <c r="E68" s="231">
        <f>'BP CORRECTION  '!E62</f>
        <v>2297.4299999999998</v>
      </c>
    </row>
    <row r="69" spans="1:5" ht="21" hidden="1" customHeight="1" x14ac:dyDescent="0.3">
      <c r="A69" s="523" t="s">
        <v>4</v>
      </c>
      <c r="B69" s="523"/>
      <c r="C69" s="523"/>
      <c r="D69" s="523"/>
      <c r="E69" s="231">
        <f>'BP CORRECTION  '!E63</f>
        <v>4517.3444499999996</v>
      </c>
    </row>
    <row r="70" spans="1:5" ht="21" hidden="1" customHeight="1" x14ac:dyDescent="0.3">
      <c r="A70" s="523" t="s">
        <v>19</v>
      </c>
      <c r="B70" s="523"/>
      <c r="C70" s="523"/>
      <c r="D70" s="523"/>
      <c r="E70" s="231">
        <f>'BP CORRECTION  '!E64</f>
        <v>0</v>
      </c>
    </row>
    <row r="71" spans="1:5" ht="21" hidden="1" customHeight="1" x14ac:dyDescent="0.3">
      <c r="A71" s="524" t="s">
        <v>66</v>
      </c>
      <c r="B71" s="524"/>
      <c r="C71" s="524"/>
      <c r="D71" s="524"/>
      <c r="E71" s="231">
        <f>'BP CORRECTION  '!E65</f>
        <v>4047.51</v>
      </c>
    </row>
    <row r="72" spans="1:5" ht="21" hidden="1" customHeight="1" x14ac:dyDescent="0.3">
      <c r="A72" s="524" t="s">
        <v>22</v>
      </c>
      <c r="B72" s="524"/>
      <c r="C72" s="524"/>
      <c r="D72" s="524"/>
      <c r="E72" s="231">
        <f>'BP CORRECTION  '!E66</f>
        <v>4047.51</v>
      </c>
    </row>
    <row r="73" spans="1:5" ht="18" hidden="1" customHeight="1" x14ac:dyDescent="0.3">
      <c r="A73" s="524" t="s">
        <v>67</v>
      </c>
      <c r="B73" s="524"/>
      <c r="C73" s="524"/>
      <c r="D73" s="524"/>
      <c r="E73" s="231">
        <f>'BP CORRECTION  '!E67</f>
        <v>151.9</v>
      </c>
    </row>
    <row r="74" spans="1:5" ht="21" hidden="1" customHeight="1" x14ac:dyDescent="0.3">
      <c r="A74" s="524" t="s">
        <v>68</v>
      </c>
      <c r="B74" s="524"/>
      <c r="C74" s="524"/>
      <c r="D74" s="524"/>
      <c r="E74" s="231">
        <f>'BP CORRECTION  '!E68</f>
        <v>151.9</v>
      </c>
    </row>
    <row r="75" spans="1:5" ht="21" hidden="1" customHeight="1" x14ac:dyDescent="0.3">
      <c r="A75" s="239"/>
      <c r="B75" s="239"/>
      <c r="C75" s="239"/>
      <c r="D75" s="239"/>
      <c r="E75" s="232"/>
    </row>
    <row r="76" spans="1:5" ht="21" hidden="1" customHeight="1" x14ac:dyDescent="0.3">
      <c r="A76" s="503" t="s">
        <v>5</v>
      </c>
      <c r="B76" s="503"/>
      <c r="C76" s="254">
        <f>E2</f>
        <v>1876</v>
      </c>
      <c r="D76" s="239"/>
      <c r="E76" s="232"/>
    </row>
    <row r="77" spans="1:5" ht="25.2" hidden="1" customHeight="1" x14ac:dyDescent="0.3">
      <c r="A77" s="498" t="s">
        <v>392</v>
      </c>
      <c r="B77" s="499"/>
      <c r="C77" s="254">
        <f>'BP CORRECTION  '!J21</f>
        <v>0</v>
      </c>
      <c r="D77" s="239"/>
      <c r="E77" s="232"/>
    </row>
    <row r="78" spans="1:5" ht="25.2" hidden="1" customHeight="1" x14ac:dyDescent="0.3">
      <c r="A78" s="498" t="s">
        <v>395</v>
      </c>
      <c r="B78" s="499"/>
      <c r="C78" s="254">
        <f>'BP CORRECTION  '!J22</f>
        <v>0</v>
      </c>
      <c r="D78" s="239"/>
      <c r="E78" s="232"/>
    </row>
    <row r="79" spans="1:5" ht="25.2" hidden="1" customHeight="1" x14ac:dyDescent="0.3">
      <c r="A79" s="498" t="s">
        <v>396</v>
      </c>
      <c r="B79" s="499"/>
      <c r="C79" s="320">
        <f>'BP CORRECTION  '!J23</f>
        <v>0</v>
      </c>
      <c r="D79" s="239"/>
      <c r="E79" s="232"/>
    </row>
    <row r="80" spans="1:5" ht="25.2" hidden="1" customHeight="1" x14ac:dyDescent="0.3">
      <c r="A80" s="498" t="s">
        <v>391</v>
      </c>
      <c r="B80" s="499"/>
      <c r="C80" s="254">
        <f>'BP CORRECTION  '!J24</f>
        <v>0</v>
      </c>
      <c r="D80" s="239"/>
      <c r="E80" s="232"/>
    </row>
    <row r="81" spans="1:14" ht="21" hidden="1" customHeight="1" x14ac:dyDescent="0.3">
      <c r="A81" s="503" t="s">
        <v>322</v>
      </c>
      <c r="B81" s="503"/>
      <c r="C81" s="254">
        <f>E5</f>
        <v>154.61000000000001</v>
      </c>
      <c r="D81" s="239"/>
      <c r="E81" s="232"/>
    </row>
    <row r="82" spans="1:14" ht="21" hidden="1" customHeight="1" x14ac:dyDescent="0.3">
      <c r="A82" s="503" t="s">
        <v>50</v>
      </c>
      <c r="B82" s="503"/>
      <c r="C82" s="254">
        <f>E6</f>
        <v>117.92</v>
      </c>
      <c r="D82" s="239"/>
      <c r="E82" s="232"/>
    </row>
    <row r="83" spans="1:14" ht="21" hidden="1" customHeight="1" x14ac:dyDescent="0.3">
      <c r="A83" s="503" t="s">
        <v>0</v>
      </c>
      <c r="B83" s="503"/>
      <c r="C83" s="254">
        <f>'BP CORRECTION  '!J31</f>
        <v>226.60000000000002</v>
      </c>
      <c r="D83" s="239"/>
      <c r="E83" s="232"/>
    </row>
    <row r="84" spans="1:14" ht="21" hidden="1" customHeight="1" x14ac:dyDescent="0.3">
      <c r="A84" s="503" t="s">
        <v>0</v>
      </c>
      <c r="B84" s="503"/>
      <c r="C84" s="254">
        <f>'BP CORRECTION  '!J30</f>
        <v>28.6</v>
      </c>
      <c r="D84" s="239"/>
      <c r="E84" s="232"/>
    </row>
    <row r="85" spans="1:14" ht="41.4" hidden="1" customHeight="1" x14ac:dyDescent="0.3">
      <c r="A85" s="498" t="s">
        <v>535</v>
      </c>
      <c r="B85" s="499"/>
      <c r="C85" s="254">
        <f>+'BP CORRECTION  '!J32</f>
        <v>0</v>
      </c>
      <c r="D85" s="239"/>
      <c r="E85" s="232"/>
    </row>
    <row r="86" spans="1:14" ht="51.6" hidden="1" customHeight="1" x14ac:dyDescent="0.3">
      <c r="A86" s="498" t="s">
        <v>536</v>
      </c>
      <c r="B86" s="499"/>
      <c r="C86" s="401"/>
      <c r="D86" s="239"/>
      <c r="E86" s="232"/>
    </row>
    <row r="87" spans="1:14" ht="21" hidden="1" customHeight="1" x14ac:dyDescent="0.3">
      <c r="A87" s="503" t="s">
        <v>346</v>
      </c>
      <c r="B87" s="503"/>
      <c r="C87" s="235">
        <f>'BP CORRECTION  '!J33</f>
        <v>2000</v>
      </c>
      <c r="D87" s="239"/>
      <c r="E87" s="232"/>
    </row>
    <row r="88" spans="1:14" ht="21" hidden="1" customHeight="1" x14ac:dyDescent="0.3">
      <c r="A88" s="542" t="s">
        <v>325</v>
      </c>
      <c r="B88" s="542"/>
      <c r="C88" s="251">
        <f>'BP CORRECTION  '!J34</f>
        <v>4403.7299999999996</v>
      </c>
      <c r="D88" s="239"/>
      <c r="E88" s="232"/>
    </row>
    <row r="89" spans="1:14" ht="14.4" hidden="1" customHeight="1" x14ac:dyDescent="0.3">
      <c r="A89" s="542" t="s">
        <v>24</v>
      </c>
      <c r="B89" s="542"/>
      <c r="C89" s="235">
        <f>'BP CORRECTION  '!J35</f>
        <v>4051.43</v>
      </c>
      <c r="D89" s="239"/>
      <c r="E89" s="232"/>
    </row>
    <row r="90" spans="1:14" ht="14.4" customHeight="1" x14ac:dyDescent="0.3">
      <c r="A90" s="317"/>
      <c r="B90" s="317"/>
      <c r="C90" s="318"/>
      <c r="D90" s="239"/>
      <c r="E90" s="232"/>
    </row>
    <row r="91" spans="1:14" ht="14.4" customHeight="1" x14ac:dyDescent="0.3">
      <c r="A91" s="317"/>
      <c r="B91" s="317"/>
      <c r="C91" s="318"/>
      <c r="D91" s="239"/>
      <c r="E91" s="232"/>
    </row>
    <row r="92" spans="1:14" ht="21" hidden="1" customHeight="1" x14ac:dyDescent="0.3">
      <c r="A92" s="317"/>
      <c r="B92" s="317"/>
      <c r="C92" s="318"/>
      <c r="D92" s="239"/>
      <c r="E92" s="232"/>
      <c r="G92" s="540" t="s">
        <v>404</v>
      </c>
    </row>
    <row r="93" spans="1:14" ht="24.6" hidden="1" customHeight="1" x14ac:dyDescent="0.3">
      <c r="A93" s="317"/>
      <c r="B93" s="317"/>
      <c r="C93" s="318"/>
      <c r="D93" s="239"/>
      <c r="E93" s="232"/>
      <c r="G93" s="541"/>
    </row>
    <row r="94" spans="1:14" s="6" customFormat="1" ht="17.399999999999999" customHeight="1" x14ac:dyDescent="0.25">
      <c r="A94" s="527" t="s">
        <v>386</v>
      </c>
      <c r="B94" s="527"/>
      <c r="C94" s="527"/>
      <c r="D94" s="528"/>
      <c r="E94" s="519" t="s">
        <v>534</v>
      </c>
      <c r="F94" s="519" t="s">
        <v>23</v>
      </c>
      <c r="G94" s="518" t="s">
        <v>2</v>
      </c>
      <c r="H94" s="518" t="s">
        <v>3</v>
      </c>
      <c r="I94" s="519" t="s">
        <v>4</v>
      </c>
      <c r="J94" s="510" t="s">
        <v>19</v>
      </c>
      <c r="K94" s="511" t="s">
        <v>347</v>
      </c>
      <c r="L94" s="511" t="s">
        <v>348</v>
      </c>
      <c r="M94" s="508" t="s">
        <v>67</v>
      </c>
      <c r="N94" s="508" t="s">
        <v>68</v>
      </c>
    </row>
    <row r="95" spans="1:14" s="6" customFormat="1" ht="17.399999999999999" customHeight="1" x14ac:dyDescent="0.25">
      <c r="A95" s="527"/>
      <c r="B95" s="527"/>
      <c r="C95" s="527"/>
      <c r="D95" s="528"/>
      <c r="E95" s="519"/>
      <c r="F95" s="519"/>
      <c r="G95" s="518"/>
      <c r="H95" s="518"/>
      <c r="I95" s="519"/>
      <c r="J95" s="510"/>
      <c r="K95" s="511"/>
      <c r="L95" s="511"/>
      <c r="M95" s="508"/>
      <c r="N95" s="508"/>
    </row>
    <row r="96" spans="1:14" s="6" customFormat="1" ht="17.399999999999999" customHeight="1" x14ac:dyDescent="0.25">
      <c r="A96" s="527"/>
      <c r="B96" s="527"/>
      <c r="C96" s="527"/>
      <c r="D96" s="528"/>
      <c r="E96" s="519"/>
      <c r="F96" s="519"/>
      <c r="G96" s="518"/>
      <c r="H96" s="518"/>
      <c r="I96" s="519"/>
      <c r="J96" s="510"/>
      <c r="K96" s="511"/>
      <c r="L96" s="511"/>
      <c r="M96" s="508"/>
      <c r="N96" s="508"/>
    </row>
    <row r="97" spans="1:14" s="6" customFormat="1" ht="23.4" hidden="1" customHeight="1" x14ac:dyDescent="0.25">
      <c r="A97" s="529"/>
      <c r="B97" s="529"/>
      <c r="C97" s="529"/>
      <c r="D97" s="530"/>
      <c r="E97" s="519"/>
      <c r="F97" s="519"/>
      <c r="G97" s="518"/>
      <c r="H97" s="518"/>
      <c r="I97" s="519"/>
      <c r="J97" s="510"/>
      <c r="K97" s="511"/>
      <c r="L97" s="511"/>
      <c r="M97" s="508"/>
      <c r="N97" s="508"/>
    </row>
    <row r="98" spans="1:14" s="6" customFormat="1" ht="18.600000000000001" customHeight="1" x14ac:dyDescent="0.25">
      <c r="A98" s="503" t="s">
        <v>5</v>
      </c>
      <c r="B98" s="503"/>
      <c r="C98" s="503"/>
      <c r="D98" s="503"/>
      <c r="E98" s="339">
        <f>'BP CORRECTION  '!J11</f>
        <v>1876</v>
      </c>
      <c r="F98" s="289">
        <f>+E98</f>
        <v>1876</v>
      </c>
      <c r="G98" s="290">
        <f>C76</f>
        <v>1876</v>
      </c>
      <c r="H98" s="290">
        <f>C76</f>
        <v>1876</v>
      </c>
      <c r="I98" s="339">
        <f>H98</f>
        <v>1876</v>
      </c>
      <c r="J98" s="244">
        <f>IF('MASQUE DE SAISIE '!G9&gt;=11,0,E98)</f>
        <v>1876</v>
      </c>
      <c r="K98" s="236">
        <f>+E98</f>
        <v>1876</v>
      </c>
      <c r="L98" s="236">
        <f>K98</f>
        <v>1876</v>
      </c>
      <c r="M98" s="299"/>
      <c r="N98" s="299"/>
    </row>
    <row r="99" spans="1:14" s="6" customFormat="1" ht="26.4" hidden="1" customHeight="1" x14ac:dyDescent="0.25">
      <c r="A99" s="503" t="s">
        <v>397</v>
      </c>
      <c r="B99" s="503"/>
      <c r="C99" s="503"/>
      <c r="D99" s="503"/>
      <c r="E99" s="339">
        <f>C78</f>
        <v>0</v>
      </c>
      <c r="F99" s="289">
        <f>+E99</f>
        <v>0</v>
      </c>
      <c r="G99" s="290">
        <f>F99</f>
        <v>0</v>
      </c>
      <c r="H99" s="290">
        <f>G99</f>
        <v>0</v>
      </c>
      <c r="I99" s="337">
        <f>+E99</f>
        <v>0</v>
      </c>
      <c r="J99" s="244">
        <f>+E99</f>
        <v>0</v>
      </c>
      <c r="K99" s="236">
        <f>+E99</f>
        <v>0</v>
      </c>
      <c r="L99" s="236">
        <f t="shared" ref="L99:L102" si="0">K99</f>
        <v>0</v>
      </c>
      <c r="M99" s="299"/>
      <c r="N99" s="299"/>
    </row>
    <row r="100" spans="1:14" s="6" customFormat="1" ht="26.4" hidden="1" customHeight="1" x14ac:dyDescent="0.25">
      <c r="A100" s="498" t="s">
        <v>395</v>
      </c>
      <c r="B100" s="533"/>
      <c r="C100" s="533"/>
      <c r="D100" s="499"/>
      <c r="E100" s="339">
        <v>0</v>
      </c>
      <c r="F100" s="289">
        <f>+E100</f>
        <v>0</v>
      </c>
      <c r="G100" s="289">
        <f>+E100</f>
        <v>0</v>
      </c>
      <c r="H100" s="289">
        <f t="shared" ref="H100:L100" si="1">+F100</f>
        <v>0</v>
      </c>
      <c r="I100" s="289">
        <f t="shared" si="1"/>
        <v>0</v>
      </c>
      <c r="J100" s="289">
        <f t="shared" si="1"/>
        <v>0</v>
      </c>
      <c r="K100" s="289">
        <f t="shared" si="1"/>
        <v>0</v>
      </c>
      <c r="L100" s="289">
        <f t="shared" si="1"/>
        <v>0</v>
      </c>
      <c r="M100" s="299"/>
      <c r="N100" s="299"/>
    </row>
    <row r="101" spans="1:14" s="6" customFormat="1" ht="26.4" hidden="1" customHeight="1" x14ac:dyDescent="0.25">
      <c r="A101" s="498" t="s">
        <v>394</v>
      </c>
      <c r="B101" s="533"/>
      <c r="C101" s="533"/>
      <c r="D101" s="499"/>
      <c r="E101" s="339">
        <v>0</v>
      </c>
      <c r="F101" s="289">
        <f>'BP CORRECTION  '!K21</f>
        <v>0</v>
      </c>
      <c r="G101" s="289">
        <f>'BP CORRECTION  '!L21</f>
        <v>0</v>
      </c>
      <c r="H101" s="289">
        <f>'BP CORRECTION  '!M21</f>
        <v>0</v>
      </c>
      <c r="I101" s="289">
        <f>'BP CORRECTION  '!N21</f>
        <v>0</v>
      </c>
      <c r="J101" s="289">
        <f>'BP CORRECTION  '!O21</f>
        <v>0</v>
      </c>
      <c r="K101" s="289">
        <f>'BP CORRECTION  '!P21</f>
        <v>0</v>
      </c>
      <c r="L101" s="289">
        <f>'BP CORRECTION  '!Q21</f>
        <v>0</v>
      </c>
      <c r="M101" s="299"/>
      <c r="N101" s="299"/>
    </row>
    <row r="102" spans="1:14" s="6" customFormat="1" ht="26.4" hidden="1" customHeight="1" x14ac:dyDescent="0.25">
      <c r="A102" s="503" t="s">
        <v>391</v>
      </c>
      <c r="B102" s="503"/>
      <c r="C102" s="503"/>
      <c r="D102" s="503"/>
      <c r="E102" s="339">
        <v>0</v>
      </c>
      <c r="F102" s="289">
        <f>+E102</f>
        <v>0</v>
      </c>
      <c r="G102" s="290"/>
      <c r="H102" s="290"/>
      <c r="I102" s="337"/>
      <c r="J102" s="244">
        <f>+E102</f>
        <v>0</v>
      </c>
      <c r="K102" s="236">
        <f>+E102</f>
        <v>0</v>
      </c>
      <c r="L102" s="236">
        <f t="shared" si="0"/>
        <v>0</v>
      </c>
      <c r="M102" s="299"/>
      <c r="N102" s="299"/>
    </row>
    <row r="103" spans="1:14" s="6" customFormat="1" ht="21" customHeight="1" x14ac:dyDescent="0.25">
      <c r="A103" s="503" t="s">
        <v>322</v>
      </c>
      <c r="B103" s="503"/>
      <c r="C103" s="503"/>
      <c r="D103" s="503"/>
      <c r="E103" s="339">
        <f>+'BP CORRECTION  '!J19</f>
        <v>154.61000000000001</v>
      </c>
      <c r="F103" s="289">
        <f t="shared" ref="F103:F111" si="2">+E103</f>
        <v>154.61000000000001</v>
      </c>
      <c r="G103" s="290">
        <f>C81</f>
        <v>154.61000000000001</v>
      </c>
      <c r="H103" s="290">
        <f>C81</f>
        <v>154.61000000000001</v>
      </c>
      <c r="I103" s="339">
        <f>H103</f>
        <v>154.61000000000001</v>
      </c>
      <c r="J103" s="244">
        <f t="shared" ref="J103:J111" si="3">+E103</f>
        <v>154.61000000000001</v>
      </c>
      <c r="K103" s="237"/>
      <c r="L103" s="236"/>
      <c r="M103" s="291">
        <f>E103</f>
        <v>154.61000000000001</v>
      </c>
      <c r="N103" s="291">
        <f>M103</f>
        <v>154.61000000000001</v>
      </c>
    </row>
    <row r="104" spans="1:14" s="6" customFormat="1" ht="20.399999999999999" customHeight="1" x14ac:dyDescent="0.25">
      <c r="A104" s="503" t="s">
        <v>50</v>
      </c>
      <c r="B104" s="503"/>
      <c r="C104" s="503"/>
      <c r="D104" s="503"/>
      <c r="E104" s="339">
        <f>'BP CORRECTION  '!J29</f>
        <v>117.92</v>
      </c>
      <c r="F104" s="289">
        <f t="shared" si="2"/>
        <v>117.92</v>
      </c>
      <c r="G104" s="292"/>
      <c r="H104" s="292"/>
      <c r="I104" s="339"/>
      <c r="J104" s="244">
        <f t="shared" si="3"/>
        <v>117.92</v>
      </c>
      <c r="K104" s="236">
        <f>+C82</f>
        <v>117.92</v>
      </c>
      <c r="L104" s="236">
        <f t="shared" ref="L104:L117" si="4">K104</f>
        <v>117.92</v>
      </c>
      <c r="M104" s="240"/>
      <c r="N104" s="240"/>
    </row>
    <row r="105" spans="1:14" s="6" customFormat="1" ht="27.6" hidden="1" customHeight="1" x14ac:dyDescent="0.25">
      <c r="A105" s="503" t="s">
        <v>0</v>
      </c>
      <c r="B105" s="503"/>
      <c r="C105" s="503"/>
      <c r="D105" s="503"/>
      <c r="E105" s="339"/>
      <c r="F105" s="289">
        <f t="shared" si="2"/>
        <v>0</v>
      </c>
      <c r="G105" s="292"/>
      <c r="H105" s="292"/>
      <c r="I105" s="338"/>
      <c r="J105" s="244">
        <f t="shared" si="3"/>
        <v>0</v>
      </c>
      <c r="K105" s="301"/>
      <c r="L105" s="302"/>
      <c r="M105" s="240"/>
      <c r="N105" s="240"/>
    </row>
    <row r="106" spans="1:14" s="6" customFormat="1" ht="27" customHeight="1" x14ac:dyDescent="0.25">
      <c r="A106" s="503" t="s">
        <v>539</v>
      </c>
      <c r="B106" s="503"/>
      <c r="C106" s="503"/>
      <c r="D106" s="503"/>
      <c r="E106" s="339">
        <f>+'BP CORRECTION  '!J30</f>
        <v>28.6</v>
      </c>
      <c r="F106" s="289">
        <f>C84</f>
        <v>28.6</v>
      </c>
      <c r="G106" s="290"/>
      <c r="H106" s="290"/>
      <c r="I106" s="339"/>
      <c r="J106" s="244">
        <f>F106</f>
        <v>28.6</v>
      </c>
      <c r="K106" s="236">
        <f>+C84</f>
        <v>28.6</v>
      </c>
      <c r="L106" s="236">
        <f t="shared" si="4"/>
        <v>28.6</v>
      </c>
      <c r="M106" s="240"/>
      <c r="N106" s="240"/>
    </row>
    <row r="107" spans="1:14" s="6" customFormat="1" ht="27" customHeight="1" x14ac:dyDescent="0.25">
      <c r="A107" s="503" t="s">
        <v>370</v>
      </c>
      <c r="B107" s="503"/>
      <c r="C107" s="503"/>
      <c r="D107" s="503"/>
      <c r="E107" s="339">
        <f>'BP CORRECTION  '!J31</f>
        <v>226.60000000000002</v>
      </c>
      <c r="F107" s="339">
        <f>'BP CORRECTION  '!J31</f>
        <v>226.60000000000002</v>
      </c>
      <c r="G107" s="292"/>
      <c r="H107" s="290"/>
      <c r="I107" s="338"/>
      <c r="J107" s="244">
        <f t="shared" si="3"/>
        <v>226.60000000000002</v>
      </c>
      <c r="K107" s="504"/>
      <c r="L107" s="504"/>
      <c r="M107" s="240"/>
      <c r="N107" s="240"/>
    </row>
    <row r="108" spans="1:14" s="6" customFormat="1" ht="27" hidden="1" customHeight="1" x14ac:dyDescent="0.25">
      <c r="A108" s="503" t="s">
        <v>362</v>
      </c>
      <c r="B108" s="503"/>
      <c r="C108" s="503"/>
      <c r="D108" s="503"/>
      <c r="E108" s="339"/>
      <c r="F108" s="289"/>
      <c r="G108" s="292"/>
      <c r="H108" s="292"/>
      <c r="I108" s="338"/>
      <c r="J108" s="244"/>
      <c r="K108" s="236"/>
      <c r="L108" s="236"/>
      <c r="M108" s="240"/>
      <c r="N108" s="240"/>
    </row>
    <row r="109" spans="1:14" s="6" customFormat="1" ht="27" hidden="1" customHeight="1" x14ac:dyDescent="0.25">
      <c r="A109" s="498" t="s">
        <v>523</v>
      </c>
      <c r="B109" s="533"/>
      <c r="C109" s="533"/>
      <c r="D109" s="499"/>
      <c r="E109" s="339"/>
      <c r="F109" s="289"/>
      <c r="G109" s="292"/>
      <c r="H109" s="292"/>
      <c r="I109" s="338"/>
      <c r="J109" s="244"/>
      <c r="K109" s="236"/>
      <c r="L109" s="236"/>
      <c r="M109" s="240"/>
      <c r="N109" s="240"/>
    </row>
    <row r="110" spans="1:14" s="6" customFormat="1" ht="27" hidden="1" customHeight="1" x14ac:dyDescent="0.25">
      <c r="A110" s="431"/>
      <c r="B110" s="433"/>
      <c r="C110" s="433"/>
      <c r="D110" s="432"/>
      <c r="E110" s="339"/>
      <c r="F110" s="289"/>
      <c r="G110" s="292"/>
      <c r="H110" s="292"/>
      <c r="I110" s="338"/>
      <c r="J110" s="244"/>
      <c r="K110" s="236"/>
      <c r="L110" s="236"/>
      <c r="M110" s="240"/>
      <c r="N110" s="240"/>
    </row>
    <row r="111" spans="1:14" s="6" customFormat="1" ht="26.4" customHeight="1" x14ac:dyDescent="0.25">
      <c r="A111" s="503" t="s">
        <v>346</v>
      </c>
      <c r="B111" s="503"/>
      <c r="C111" s="503"/>
      <c r="D111" s="503"/>
      <c r="E111" s="339">
        <f>'BP CORRECTION  '!J33</f>
        <v>2000</v>
      </c>
      <c r="F111" s="289">
        <f t="shared" si="2"/>
        <v>2000</v>
      </c>
      <c r="G111" s="292"/>
      <c r="H111" s="292"/>
      <c r="I111" s="339"/>
      <c r="J111" s="244">
        <f t="shared" si="3"/>
        <v>2000</v>
      </c>
      <c r="K111" s="236">
        <f>J111</f>
        <v>2000</v>
      </c>
      <c r="L111" s="236">
        <f t="shared" si="4"/>
        <v>2000</v>
      </c>
      <c r="M111" s="240"/>
      <c r="N111" s="240"/>
    </row>
    <row r="112" spans="1:14" s="6" customFormat="1" ht="19.2" customHeight="1" x14ac:dyDescent="0.25">
      <c r="A112" s="534" t="s">
        <v>356</v>
      </c>
      <c r="B112" s="535"/>
      <c r="C112" s="535"/>
      <c r="D112" s="536"/>
      <c r="E112" s="293">
        <f>SUM(E98:E111)</f>
        <v>4403.7299999999996</v>
      </c>
      <c r="F112" s="293">
        <f>SUM(F98:F111)</f>
        <v>4403.7299999999996</v>
      </c>
      <c r="G112" s="292"/>
      <c r="H112" s="292"/>
      <c r="I112" s="293">
        <f>SUM(I98:I111)</f>
        <v>2030.6100000000001</v>
      </c>
      <c r="J112" s="244">
        <f>SUM(J98:J111)</f>
        <v>4403.7299999999996</v>
      </c>
      <c r="K112" s="246">
        <f>SUM(K98:K111)</f>
        <v>4022.52</v>
      </c>
      <c r="L112" s="246">
        <f>K112</f>
        <v>4022.52</v>
      </c>
      <c r="M112" s="240"/>
      <c r="N112" s="240"/>
    </row>
    <row r="113" spans="1:14" s="6" customFormat="1" ht="20.399999999999999" customHeight="1" x14ac:dyDescent="0.25">
      <c r="A113" s="537" t="s">
        <v>15</v>
      </c>
      <c r="B113" s="537"/>
      <c r="C113" s="537"/>
      <c r="D113" s="537"/>
      <c r="E113" s="293">
        <f>+E112*(1-'MASQUE DE SAISIE '!G16)</f>
        <v>4051.4315999999999</v>
      </c>
      <c r="F113" s="293">
        <f>E113</f>
        <v>4051.4315999999999</v>
      </c>
      <c r="G113" s="294"/>
      <c r="H113" s="233"/>
      <c r="I113" s="221"/>
      <c r="J113" s="244">
        <f>'BP CORRECTION  '!J35</f>
        <v>4051.43</v>
      </c>
      <c r="K113" s="295"/>
      <c r="L113" s="295"/>
      <c r="M113" s="240"/>
      <c r="N113" s="240"/>
    </row>
    <row r="114" spans="1:14" s="6" customFormat="1" ht="26.4" customHeight="1" x14ac:dyDescent="0.25">
      <c r="A114" s="547" t="s">
        <v>531</v>
      </c>
      <c r="B114" s="547"/>
      <c r="C114" s="547"/>
      <c r="D114" s="547"/>
      <c r="E114" s="547"/>
      <c r="F114" s="547"/>
      <c r="G114" s="547"/>
      <c r="H114" s="547"/>
      <c r="I114" s="366">
        <f>ROUND((I112+I112*13.14%),2)</f>
        <v>2297.4299999999998</v>
      </c>
      <c r="J114" s="244"/>
      <c r="K114" s="247"/>
      <c r="L114" s="246"/>
      <c r="M114" s="240"/>
      <c r="N114" s="240"/>
    </row>
    <row r="115" spans="1:14" s="6" customFormat="1" ht="20.399999999999999" customHeight="1" x14ac:dyDescent="0.25">
      <c r="A115" s="548" t="s">
        <v>548</v>
      </c>
      <c r="B115" s="548"/>
      <c r="C115" s="548"/>
      <c r="D115" s="548"/>
      <c r="E115" s="548"/>
      <c r="F115" s="548"/>
      <c r="G115" s="548"/>
      <c r="H115" s="548"/>
      <c r="I115" s="548"/>
      <c r="J115" s="245">
        <f>J113*111.5%</f>
        <v>4517.3444499999996</v>
      </c>
      <c r="K115" s="247"/>
      <c r="L115" s="246"/>
      <c r="M115" s="240"/>
      <c r="N115" s="240"/>
    </row>
    <row r="116" spans="1:14" s="6" customFormat="1" ht="20.399999999999999" hidden="1" customHeight="1" x14ac:dyDescent="0.25">
      <c r="A116" s="520" t="s">
        <v>549</v>
      </c>
      <c r="B116" s="520"/>
      <c r="C116" s="520"/>
      <c r="D116" s="520"/>
      <c r="E116" s="520"/>
      <c r="F116" s="520"/>
      <c r="G116" s="520"/>
      <c r="H116" s="520"/>
      <c r="I116" s="520"/>
      <c r="J116" s="520"/>
      <c r="K116" s="248">
        <f>K112*0.9825</f>
        <v>3952.1259</v>
      </c>
      <c r="L116" s="246">
        <f t="shared" si="4"/>
        <v>3952.1259</v>
      </c>
      <c r="M116" s="240"/>
      <c r="N116" s="240"/>
    </row>
    <row r="117" spans="1:14" s="6" customFormat="1" ht="20.399999999999999" hidden="1" customHeight="1" x14ac:dyDescent="0.25">
      <c r="A117" s="520" t="s">
        <v>329</v>
      </c>
      <c r="B117" s="520"/>
      <c r="C117" s="520"/>
      <c r="D117" s="520"/>
      <c r="E117" s="520"/>
      <c r="F117" s="520"/>
      <c r="G117" s="520"/>
      <c r="H117" s="520"/>
      <c r="I117" s="520"/>
      <c r="J117" s="520"/>
      <c r="K117" s="249">
        <f>'BP CORRECTION  '!J40</f>
        <v>50</v>
      </c>
      <c r="L117" s="246">
        <f t="shared" si="4"/>
        <v>50</v>
      </c>
      <c r="M117" s="240"/>
      <c r="N117" s="240"/>
    </row>
    <row r="118" spans="1:14" s="6" customFormat="1" ht="20.399999999999999" hidden="1" customHeight="1" x14ac:dyDescent="0.25">
      <c r="A118" s="520" t="s">
        <v>550</v>
      </c>
      <c r="B118" s="520"/>
      <c r="C118" s="520"/>
      <c r="D118" s="520"/>
      <c r="E118" s="520"/>
      <c r="F118" s="520"/>
      <c r="G118" s="520"/>
      <c r="H118" s="520"/>
      <c r="I118" s="520"/>
      <c r="J118" s="520"/>
      <c r="K118" s="250">
        <f>O35</f>
        <v>45.376016000000007</v>
      </c>
      <c r="L118" s="246">
        <f>K118</f>
        <v>45.376016000000007</v>
      </c>
      <c r="M118" s="296"/>
      <c r="N118" s="296"/>
    </row>
    <row r="119" spans="1:14" ht="20.399999999999999" hidden="1" customHeight="1" x14ac:dyDescent="0.3">
      <c r="A119" s="521" t="s">
        <v>549</v>
      </c>
      <c r="B119" s="521"/>
      <c r="C119" s="521"/>
      <c r="D119" s="521"/>
      <c r="E119" s="521"/>
      <c r="F119" s="521"/>
      <c r="G119" s="521"/>
      <c r="H119" s="521"/>
      <c r="I119" s="521"/>
      <c r="J119" s="521"/>
      <c r="K119" s="297"/>
      <c r="L119" s="297"/>
      <c r="M119" s="240">
        <f>ROUND((1-1.75%)*M103,2)</f>
        <v>151.9</v>
      </c>
      <c r="N119" s="298">
        <f>+M119</f>
        <v>151.9</v>
      </c>
    </row>
    <row r="120" spans="1:14" ht="20.399999999999999" customHeight="1" x14ac:dyDescent="0.3">
      <c r="A120" s="241"/>
      <c r="B120" s="241"/>
      <c r="C120" s="241"/>
      <c r="D120" s="241"/>
      <c r="E120" s="293">
        <f>E113</f>
        <v>4051.4315999999999</v>
      </c>
      <c r="F120" s="293">
        <f>IF(F113&gt;'BP CORRECTION  '!C35,'BP CORRECTION  '!C35,'JUSTIFICATION DES BASES '!F113)</f>
        <v>3925.0000000000005</v>
      </c>
      <c r="G120" s="233">
        <f>SUM(G98:G114)</f>
        <v>2030.6100000000001</v>
      </c>
      <c r="H120" s="233">
        <f>SUM(H98:H114)</f>
        <v>2030.6100000000001</v>
      </c>
      <c r="I120" s="242">
        <f>I114</f>
        <v>2297.4299999999998</v>
      </c>
      <c r="J120" s="300">
        <f>+J115</f>
        <v>4517.3444499999996</v>
      </c>
      <c r="K120" s="238">
        <f>K116+K117+K118</f>
        <v>4047.5019160000002</v>
      </c>
      <c r="L120" s="238">
        <f>K120</f>
        <v>4047.5019160000002</v>
      </c>
      <c r="M120" s="296">
        <f>M119</f>
        <v>151.9</v>
      </c>
      <c r="N120" s="296">
        <f>N119</f>
        <v>151.9</v>
      </c>
    </row>
    <row r="123" spans="1:14" ht="246" customHeight="1" x14ac:dyDescent="0.3"/>
    <row r="124" spans="1:14" ht="30" hidden="1" customHeight="1" x14ac:dyDescent="0.3">
      <c r="E124" s="553" t="s">
        <v>354</v>
      </c>
      <c r="F124" s="553"/>
      <c r="H124" s="252" t="s">
        <v>354</v>
      </c>
      <c r="L124" s="253" t="s">
        <v>355</v>
      </c>
      <c r="M124" s="252" t="s">
        <v>354</v>
      </c>
    </row>
    <row r="125" spans="1:14" ht="14.4" customHeight="1" x14ac:dyDescent="0.3">
      <c r="D125" s="545" t="s">
        <v>211</v>
      </c>
      <c r="E125" s="545" t="s">
        <v>212</v>
      </c>
      <c r="F125" s="545" t="s">
        <v>213</v>
      </c>
      <c r="G125" s="546" t="s">
        <v>215</v>
      </c>
      <c r="H125" s="515" t="s">
        <v>11</v>
      </c>
      <c r="I125" s="554" t="s">
        <v>13</v>
      </c>
      <c r="J125" s="505" t="s">
        <v>17</v>
      </c>
      <c r="K125" s="538" t="s">
        <v>16</v>
      </c>
      <c r="L125" s="505" t="s">
        <v>18</v>
      </c>
      <c r="M125" s="505" t="s">
        <v>14</v>
      </c>
      <c r="N125" s="505" t="s">
        <v>401</v>
      </c>
    </row>
    <row r="126" spans="1:14" x14ac:dyDescent="0.3">
      <c r="D126" s="545"/>
      <c r="E126" s="545"/>
      <c r="F126" s="545"/>
      <c r="G126" s="546"/>
      <c r="H126" s="515"/>
      <c r="I126" s="554"/>
      <c r="J126" s="505"/>
      <c r="K126" s="538"/>
      <c r="L126" s="505"/>
      <c r="M126" s="505"/>
      <c r="N126" s="505"/>
    </row>
    <row r="127" spans="1:14" x14ac:dyDescent="0.3">
      <c r="D127" s="545"/>
      <c r="E127" s="545"/>
      <c r="F127" s="545"/>
      <c r="G127" s="546"/>
      <c r="H127" s="515"/>
      <c r="I127" s="554"/>
      <c r="J127" s="505"/>
      <c r="K127" s="538"/>
      <c r="L127" s="505"/>
      <c r="M127" s="505"/>
      <c r="N127" s="505"/>
    </row>
    <row r="128" spans="1:14" ht="26.4" customHeight="1" x14ac:dyDescent="0.3">
      <c r="D128" s="545"/>
      <c r="E128" s="545"/>
      <c r="F128" s="545"/>
      <c r="G128" s="546"/>
      <c r="H128" s="515"/>
      <c r="I128" s="554"/>
      <c r="J128" s="505"/>
      <c r="K128" s="538"/>
      <c r="L128" s="505"/>
      <c r="M128" s="505"/>
      <c r="N128" s="505"/>
    </row>
    <row r="129" spans="1:14" x14ac:dyDescent="0.3">
      <c r="A129" s="16" t="s">
        <v>5</v>
      </c>
      <c r="C129" s="254">
        <f>C76</f>
        <v>1876</v>
      </c>
      <c r="D129" s="242">
        <f>C129</f>
        <v>1876</v>
      </c>
      <c r="E129" s="242">
        <f t="shared" ref="E129:F131" si="5">D129</f>
        <v>1876</v>
      </c>
      <c r="F129" s="242">
        <f t="shared" si="5"/>
        <v>1876</v>
      </c>
      <c r="G129" s="234">
        <f>F129</f>
        <v>1876</v>
      </c>
      <c r="H129" s="294"/>
      <c r="I129" s="234">
        <f>+G129</f>
        <v>1876</v>
      </c>
      <c r="J129" s="242">
        <f>+I129</f>
        <v>1876</v>
      </c>
      <c r="K129" s="293">
        <f>IF('MASQUE DE SAISIE '!G9&gt;=11,0,J129)</f>
        <v>1876</v>
      </c>
      <c r="L129" s="242">
        <f>J129</f>
        <v>1876</v>
      </c>
      <c r="M129" s="242">
        <f>J129</f>
        <v>1876</v>
      </c>
      <c r="N129" s="333">
        <f>IF('MASQUE DE SAISIE '!G9&gt;=11,0,'BP CORRECTION  '!J35)</f>
        <v>4051.43</v>
      </c>
    </row>
    <row r="130" spans="1:14" hidden="1" x14ac:dyDescent="0.3">
      <c r="A130" s="500" t="s">
        <v>359</v>
      </c>
      <c r="B130" s="501"/>
      <c r="C130" s="254">
        <f>'BP CORRECTION  '!J22+'BP CORRECTION  '!J21</f>
        <v>0</v>
      </c>
      <c r="D130" s="242">
        <f t="shared" ref="D130:D131" si="6">C130</f>
        <v>0</v>
      </c>
      <c r="E130" s="242">
        <f t="shared" si="5"/>
        <v>0</v>
      </c>
      <c r="F130" s="242">
        <f t="shared" si="5"/>
        <v>0</v>
      </c>
      <c r="G130" s="234">
        <f t="shared" ref="G130:G131" si="7">F130</f>
        <v>0</v>
      </c>
      <c r="H130" s="294"/>
      <c r="I130" s="234">
        <f t="shared" ref="I130:I131" si="8">+G130</f>
        <v>0</v>
      </c>
      <c r="J130" s="242">
        <f t="shared" ref="J130:K132" si="9">+I130</f>
        <v>0</v>
      </c>
      <c r="K130" s="293">
        <f t="shared" si="9"/>
        <v>0</v>
      </c>
      <c r="L130" s="242">
        <f t="shared" ref="L130:L131" si="10">K130</f>
        <v>0</v>
      </c>
      <c r="M130" s="242">
        <f t="shared" ref="M130:M131" si="11">K130</f>
        <v>0</v>
      </c>
      <c r="N130" s="333">
        <f t="shared" ref="N130:N143" si="12">M130</f>
        <v>0</v>
      </c>
    </row>
    <row r="131" spans="1:14" hidden="1" x14ac:dyDescent="0.3">
      <c r="A131" s="500" t="s">
        <v>360</v>
      </c>
      <c r="B131" s="501"/>
      <c r="C131" s="254">
        <f>+'BP CORRECTION  '!J23</f>
        <v>0</v>
      </c>
      <c r="D131" s="242">
        <f t="shared" si="6"/>
        <v>0</v>
      </c>
      <c r="E131" s="242">
        <f t="shared" si="5"/>
        <v>0</v>
      </c>
      <c r="F131" s="242">
        <f t="shared" si="5"/>
        <v>0</v>
      </c>
      <c r="G131" s="234">
        <f t="shared" si="7"/>
        <v>0</v>
      </c>
      <c r="H131" s="294"/>
      <c r="I131" s="234">
        <f t="shared" si="8"/>
        <v>0</v>
      </c>
      <c r="J131" s="242">
        <f t="shared" si="9"/>
        <v>0</v>
      </c>
      <c r="K131" s="293">
        <f t="shared" si="9"/>
        <v>0</v>
      </c>
      <c r="L131" s="242">
        <f t="shared" si="10"/>
        <v>0</v>
      </c>
      <c r="M131" s="242">
        <f t="shared" si="11"/>
        <v>0</v>
      </c>
      <c r="N131" s="333">
        <f t="shared" si="12"/>
        <v>0</v>
      </c>
    </row>
    <row r="132" spans="1:14" hidden="1" x14ac:dyDescent="0.3">
      <c r="A132" s="500" t="s">
        <v>391</v>
      </c>
      <c r="B132" s="501"/>
      <c r="C132" s="254">
        <f>+'BP CORRECTION  '!J24</f>
        <v>0</v>
      </c>
      <c r="D132" s="242">
        <f>+C132</f>
        <v>0</v>
      </c>
      <c r="E132" s="242">
        <f t="shared" ref="E132:I132" si="13">+D132</f>
        <v>0</v>
      </c>
      <c r="F132" s="242">
        <f t="shared" si="13"/>
        <v>0</v>
      </c>
      <c r="G132" s="234">
        <f t="shared" si="13"/>
        <v>0</v>
      </c>
      <c r="H132" s="242">
        <f t="shared" si="13"/>
        <v>0</v>
      </c>
      <c r="I132" s="234">
        <f t="shared" si="13"/>
        <v>0</v>
      </c>
      <c r="J132" s="242">
        <f t="shared" si="9"/>
        <v>0</v>
      </c>
      <c r="K132" s="293">
        <f t="shared" si="9"/>
        <v>0</v>
      </c>
      <c r="L132" s="242">
        <f t="shared" ref="L132:M132" si="14">+K132</f>
        <v>0</v>
      </c>
      <c r="M132" s="242">
        <f t="shared" si="14"/>
        <v>0</v>
      </c>
      <c r="N132" s="333">
        <f t="shared" si="12"/>
        <v>0</v>
      </c>
    </row>
    <row r="133" spans="1:14" x14ac:dyDescent="0.3">
      <c r="A133" s="16" t="s">
        <v>59</v>
      </c>
      <c r="C133" s="254">
        <f>C81</f>
        <v>154.61000000000001</v>
      </c>
      <c r="D133" s="242">
        <f t="shared" ref="D133:G139" si="15">C133</f>
        <v>154.61000000000001</v>
      </c>
      <c r="E133" s="242">
        <f t="shared" si="15"/>
        <v>154.61000000000001</v>
      </c>
      <c r="F133" s="242">
        <f t="shared" si="15"/>
        <v>154.61000000000001</v>
      </c>
      <c r="G133" s="234">
        <f t="shared" si="15"/>
        <v>154.61000000000001</v>
      </c>
      <c r="H133" s="294"/>
      <c r="I133" s="234">
        <f t="shared" ref="I133:I139" si="16">+G133</f>
        <v>154.61000000000001</v>
      </c>
      <c r="J133" s="242">
        <f t="shared" ref="J133:K139" si="17">+I133</f>
        <v>154.61000000000001</v>
      </c>
      <c r="K133" s="293">
        <f t="shared" si="17"/>
        <v>154.61000000000001</v>
      </c>
      <c r="L133" s="242">
        <f t="shared" ref="L133:L139" si="18">K133</f>
        <v>154.61000000000001</v>
      </c>
      <c r="M133" s="242">
        <f t="shared" ref="M133:M139" si="19">K133</f>
        <v>154.61000000000001</v>
      </c>
      <c r="N133" s="333">
        <f t="shared" si="12"/>
        <v>154.61000000000001</v>
      </c>
    </row>
    <row r="134" spans="1:14" x14ac:dyDescent="0.3">
      <c r="A134" s="16" t="s">
        <v>209</v>
      </c>
      <c r="C134" s="254">
        <f>C82</f>
        <v>117.92</v>
      </c>
      <c r="D134" s="242">
        <f t="shared" si="15"/>
        <v>117.92</v>
      </c>
      <c r="E134" s="242">
        <f t="shared" si="15"/>
        <v>117.92</v>
      </c>
      <c r="F134" s="242">
        <f t="shared" si="15"/>
        <v>117.92</v>
      </c>
      <c r="G134" s="234">
        <f t="shared" si="15"/>
        <v>117.92</v>
      </c>
      <c r="H134" s="294"/>
      <c r="I134" s="234">
        <f t="shared" si="16"/>
        <v>117.92</v>
      </c>
      <c r="J134" s="242">
        <f t="shared" si="17"/>
        <v>117.92</v>
      </c>
      <c r="K134" s="293">
        <f t="shared" si="17"/>
        <v>117.92</v>
      </c>
      <c r="L134" s="242">
        <f t="shared" si="18"/>
        <v>117.92</v>
      </c>
      <c r="M134" s="242">
        <f t="shared" si="19"/>
        <v>117.92</v>
      </c>
      <c r="N134" s="333">
        <f t="shared" si="12"/>
        <v>117.92</v>
      </c>
    </row>
    <row r="135" spans="1:14" x14ac:dyDescent="0.3">
      <c r="A135" s="16" t="s">
        <v>0</v>
      </c>
      <c r="C135" s="254">
        <f>C83</f>
        <v>226.60000000000002</v>
      </c>
      <c r="D135" s="242">
        <f t="shared" si="15"/>
        <v>226.60000000000002</v>
      </c>
      <c r="E135" s="242">
        <f t="shared" si="15"/>
        <v>226.60000000000002</v>
      </c>
      <c r="F135" s="242">
        <f t="shared" si="15"/>
        <v>226.60000000000002</v>
      </c>
      <c r="G135" s="234">
        <f t="shared" si="15"/>
        <v>226.60000000000002</v>
      </c>
      <c r="H135" s="294"/>
      <c r="I135" s="234">
        <f t="shared" si="16"/>
        <v>226.60000000000002</v>
      </c>
      <c r="J135" s="242">
        <f t="shared" si="17"/>
        <v>226.60000000000002</v>
      </c>
      <c r="K135" s="293">
        <f t="shared" si="17"/>
        <v>226.60000000000002</v>
      </c>
      <c r="L135" s="242">
        <f t="shared" si="18"/>
        <v>226.60000000000002</v>
      </c>
      <c r="M135" s="242">
        <f t="shared" si="19"/>
        <v>226.60000000000002</v>
      </c>
      <c r="N135" s="333">
        <f t="shared" si="12"/>
        <v>226.60000000000002</v>
      </c>
    </row>
    <row r="136" spans="1:14" x14ac:dyDescent="0.3">
      <c r="A136" s="16" t="s">
        <v>540</v>
      </c>
      <c r="C136" s="254">
        <f>C84</f>
        <v>28.6</v>
      </c>
      <c r="D136" s="242">
        <f t="shared" si="15"/>
        <v>28.6</v>
      </c>
      <c r="E136" s="242">
        <f t="shared" si="15"/>
        <v>28.6</v>
      </c>
      <c r="F136" s="242">
        <f t="shared" si="15"/>
        <v>28.6</v>
      </c>
      <c r="G136" s="234">
        <f t="shared" si="15"/>
        <v>28.6</v>
      </c>
      <c r="H136" s="294"/>
      <c r="I136" s="234">
        <f t="shared" si="16"/>
        <v>28.6</v>
      </c>
      <c r="J136" s="242">
        <f t="shared" si="17"/>
        <v>28.6</v>
      </c>
      <c r="K136" s="293">
        <f t="shared" si="17"/>
        <v>28.6</v>
      </c>
      <c r="L136" s="242">
        <f t="shared" si="18"/>
        <v>28.6</v>
      </c>
      <c r="M136" s="242">
        <f t="shared" si="19"/>
        <v>28.6</v>
      </c>
      <c r="N136" s="333">
        <f t="shared" si="12"/>
        <v>28.6</v>
      </c>
    </row>
    <row r="137" spans="1:14" hidden="1" x14ac:dyDescent="0.3">
      <c r="A137" s="16" t="s">
        <v>363</v>
      </c>
      <c r="C137" s="254">
        <f>'BP CORRECTION  '!J32</f>
        <v>0</v>
      </c>
      <c r="D137" s="242">
        <f t="shared" si="15"/>
        <v>0</v>
      </c>
      <c r="E137" s="242">
        <f t="shared" si="15"/>
        <v>0</v>
      </c>
      <c r="F137" s="242">
        <f t="shared" si="15"/>
        <v>0</v>
      </c>
      <c r="G137" s="234">
        <f t="shared" si="15"/>
        <v>0</v>
      </c>
      <c r="H137" s="294"/>
      <c r="I137" s="234">
        <f t="shared" si="16"/>
        <v>0</v>
      </c>
      <c r="J137" s="242">
        <f t="shared" si="17"/>
        <v>0</v>
      </c>
      <c r="K137" s="293">
        <f t="shared" si="17"/>
        <v>0</v>
      </c>
      <c r="L137" s="242">
        <f t="shared" si="18"/>
        <v>0</v>
      </c>
      <c r="M137" s="242">
        <f t="shared" si="19"/>
        <v>0</v>
      </c>
      <c r="N137" s="333">
        <f t="shared" si="12"/>
        <v>0</v>
      </c>
    </row>
    <row r="138" spans="1:14" hidden="1" x14ac:dyDescent="0.3">
      <c r="A138" s="16" t="s">
        <v>379</v>
      </c>
      <c r="C138" s="254"/>
      <c r="D138" s="242">
        <f t="shared" si="15"/>
        <v>0</v>
      </c>
      <c r="E138" s="242">
        <f t="shared" si="15"/>
        <v>0</v>
      </c>
      <c r="F138" s="242">
        <f t="shared" si="15"/>
        <v>0</v>
      </c>
      <c r="G138" s="234">
        <f t="shared" si="15"/>
        <v>0</v>
      </c>
      <c r="H138" s="294"/>
      <c r="I138" s="234">
        <f t="shared" si="16"/>
        <v>0</v>
      </c>
      <c r="J138" s="242">
        <f t="shared" si="17"/>
        <v>0</v>
      </c>
      <c r="K138" s="293">
        <f t="shared" si="17"/>
        <v>0</v>
      </c>
      <c r="L138" s="242">
        <f t="shared" si="18"/>
        <v>0</v>
      </c>
      <c r="M138" s="242">
        <f t="shared" si="19"/>
        <v>0</v>
      </c>
      <c r="N138" s="333">
        <f t="shared" si="12"/>
        <v>0</v>
      </c>
    </row>
    <row r="139" spans="1:14" x14ac:dyDescent="0.3">
      <c r="A139" s="16" t="s">
        <v>346</v>
      </c>
      <c r="C139" s="254">
        <f>'BP CORRECTION  '!J33</f>
        <v>2000</v>
      </c>
      <c r="D139" s="242">
        <f t="shared" si="15"/>
        <v>2000</v>
      </c>
      <c r="E139" s="242">
        <f t="shared" si="15"/>
        <v>2000</v>
      </c>
      <c r="F139" s="242">
        <f t="shared" si="15"/>
        <v>2000</v>
      </c>
      <c r="G139" s="234">
        <f t="shared" si="15"/>
        <v>2000</v>
      </c>
      <c r="H139" s="294"/>
      <c r="I139" s="234">
        <f t="shared" si="16"/>
        <v>2000</v>
      </c>
      <c r="J139" s="242">
        <f t="shared" si="17"/>
        <v>2000</v>
      </c>
      <c r="K139" s="293">
        <f t="shared" si="17"/>
        <v>2000</v>
      </c>
      <c r="L139" s="242">
        <f t="shared" si="18"/>
        <v>2000</v>
      </c>
      <c r="M139" s="242">
        <f t="shared" si="19"/>
        <v>2000</v>
      </c>
      <c r="N139" s="333">
        <f t="shared" si="12"/>
        <v>2000</v>
      </c>
    </row>
    <row r="140" spans="1:14" x14ac:dyDescent="0.3">
      <c r="A140" s="16" t="s">
        <v>210</v>
      </c>
      <c r="C140" s="254">
        <f>SUM(C129:C139)</f>
        <v>4403.7299999999996</v>
      </c>
      <c r="D140" s="242">
        <f>SUM(D129:D139)</f>
        <v>4403.7299999999996</v>
      </c>
      <c r="E140" s="242">
        <f>SUM(E129:E139)</f>
        <v>4403.7299999999996</v>
      </c>
      <c r="F140" s="242">
        <f t="shared" ref="F140:G140" si="20">SUM(F129:F139)</f>
        <v>4403.7299999999996</v>
      </c>
      <c r="G140" s="234">
        <f t="shared" si="20"/>
        <v>4403.7299999999996</v>
      </c>
      <c r="H140" s="294"/>
      <c r="I140" s="234">
        <f>SUM(I129:I139)</f>
        <v>4403.7299999999996</v>
      </c>
      <c r="J140" s="242">
        <f t="shared" ref="J140:M140" si="21">SUM(J129:J139)</f>
        <v>4403.7299999999996</v>
      </c>
      <c r="K140" s="293">
        <f t="shared" si="21"/>
        <v>4403.7299999999996</v>
      </c>
      <c r="L140" s="242">
        <f t="shared" si="21"/>
        <v>4403.7299999999996</v>
      </c>
      <c r="M140" s="234">
        <f t="shared" si="21"/>
        <v>4403.7299999999996</v>
      </c>
      <c r="N140" s="334">
        <f t="shared" si="12"/>
        <v>4403.7299999999996</v>
      </c>
    </row>
    <row r="141" spans="1:14" x14ac:dyDescent="0.3">
      <c r="A141" s="16" t="s">
        <v>15</v>
      </c>
      <c r="C141" s="254">
        <f>C140*(1-'MASQUE DE SAISIE '!G16)</f>
        <v>4051.4315999999999</v>
      </c>
      <c r="D141" s="242">
        <f>D140*(1-'MASQUE DE SAISIE '!$G$16)</f>
        <v>4051.4315999999999</v>
      </c>
      <c r="E141" s="242">
        <f>E140*(1-'MASQUE DE SAISIE '!$G$16)</f>
        <v>4051.4315999999999</v>
      </c>
      <c r="F141" s="242">
        <f>F140*(1-'MASQUE DE SAISIE '!$G$16)</f>
        <v>4051.4315999999999</v>
      </c>
      <c r="G141" s="234">
        <f>G140*(1-'MASQUE DE SAISIE '!$G$16)</f>
        <v>4051.4315999999999</v>
      </c>
      <c r="H141" s="233"/>
      <c r="I141" s="234">
        <f>I140*(1-'MASQUE DE SAISIE '!$G$16)</f>
        <v>4051.4315999999999</v>
      </c>
      <c r="J141" s="242">
        <f>J140*(1-'MASQUE DE SAISIE '!$G$16)</f>
        <v>4051.4315999999999</v>
      </c>
      <c r="K141" s="293">
        <f>K140*(1-'MASQUE DE SAISIE '!$G$16)</f>
        <v>4051.4315999999999</v>
      </c>
      <c r="L141" s="242">
        <f>L140*(1-'MASQUE DE SAISIE '!$G$16)</f>
        <v>4051.4315999999999</v>
      </c>
      <c r="M141" s="242">
        <f>M140*(1-'MASQUE DE SAISIE '!$G$16)</f>
        <v>4051.4315999999999</v>
      </c>
      <c r="N141" s="333">
        <f t="shared" si="12"/>
        <v>4051.4315999999999</v>
      </c>
    </row>
    <row r="142" spans="1:14" x14ac:dyDescent="0.3">
      <c r="C142" s="1"/>
      <c r="D142" s="285"/>
      <c r="E142" s="285"/>
      <c r="F142" s="285"/>
      <c r="G142" s="286"/>
      <c r="H142" s="294"/>
      <c r="I142" s="287"/>
      <c r="J142" s="243"/>
      <c r="K142" s="288"/>
      <c r="L142" s="285"/>
      <c r="M142" s="285"/>
      <c r="N142" s="333">
        <f>M142</f>
        <v>0</v>
      </c>
    </row>
    <row r="143" spans="1:14" ht="33" customHeight="1" x14ac:dyDescent="0.3">
      <c r="A143" s="502" t="s">
        <v>349</v>
      </c>
      <c r="B143" s="502"/>
      <c r="C143" s="502"/>
      <c r="D143" s="242">
        <f>IF('JUSTIFICATION DES BASES '!D141&gt;'BP CORRECTION  '!C35,'BP CORRECTION  '!C35*111.5%,ROUND(D141*111.5%,2))</f>
        <v>4376.3750000000009</v>
      </c>
      <c r="E143" s="242">
        <f t="shared" ref="E143:J143" si="22">ROUND(E141*111.5%,2)</f>
        <v>4517.3500000000004</v>
      </c>
      <c r="F143" s="242">
        <f t="shared" si="22"/>
        <v>4517.3500000000004</v>
      </c>
      <c r="G143" s="234"/>
      <c r="H143" s="233"/>
      <c r="I143" s="234"/>
      <c r="J143" s="242">
        <f t="shared" si="22"/>
        <v>4517.3500000000004</v>
      </c>
      <c r="K143" s="288"/>
      <c r="L143" s="243">
        <f>ROUND(111.5%*L141,2)</f>
        <v>4517.3500000000004</v>
      </c>
      <c r="M143" s="243">
        <f>ROUND(111.5%*M141,2)</f>
        <v>4517.3500000000004</v>
      </c>
      <c r="N143" s="243">
        <f t="shared" si="12"/>
        <v>4517.3500000000004</v>
      </c>
    </row>
    <row r="144" spans="1:14" ht="33" hidden="1" customHeight="1" x14ac:dyDescent="0.3">
      <c r="A144" s="506" t="s">
        <v>350</v>
      </c>
      <c r="B144" s="507"/>
      <c r="C144" s="507"/>
      <c r="D144" s="507"/>
      <c r="E144" s="507"/>
      <c r="F144" s="507"/>
      <c r="G144" s="234">
        <f>G141</f>
        <v>4051.4315999999999</v>
      </c>
      <c r="H144" s="294"/>
      <c r="I144" s="234">
        <f>G144</f>
        <v>4051.4315999999999</v>
      </c>
      <c r="J144" s="9"/>
      <c r="K144" s="288"/>
      <c r="L144" s="9"/>
      <c r="M144" s="9"/>
    </row>
    <row r="145" spans="1:13" ht="33" hidden="1" customHeight="1" x14ac:dyDescent="0.3">
      <c r="A145" s="543" t="s">
        <v>351</v>
      </c>
      <c r="B145" s="544"/>
      <c r="C145" s="544"/>
      <c r="D145" s="544"/>
      <c r="E145" s="544"/>
      <c r="F145" s="544"/>
      <c r="G145" s="544"/>
      <c r="H145" s="309">
        <f>'BP CORRECTION  '!J40+'BP CORRECTION  '!E74*'BP CORRECTION  '!H74</f>
        <v>119.684596</v>
      </c>
      <c r="I145" s="9"/>
      <c r="J145" s="9"/>
      <c r="K145" s="288"/>
      <c r="L145" s="9"/>
      <c r="M145" s="9"/>
    </row>
    <row r="146" spans="1:13" ht="33" customHeight="1" x14ac:dyDescent="0.3">
      <c r="A146" s="497" t="s">
        <v>353</v>
      </c>
      <c r="B146" s="497"/>
      <c r="C146" s="497"/>
      <c r="D146" s="288"/>
      <c r="E146" s="288"/>
      <c r="F146" s="288"/>
      <c r="G146" s="288"/>
      <c r="H146" s="288"/>
      <c r="I146" s="288"/>
      <c r="J146" s="288"/>
      <c r="K146" s="288">
        <f>ROUND(K141*120%,2)</f>
        <v>4861.72</v>
      </c>
      <c r="L146" s="9"/>
      <c r="M146" s="9"/>
    </row>
    <row r="148" spans="1:13" ht="18" x14ac:dyDescent="0.35">
      <c r="A148" s="227" t="s">
        <v>354</v>
      </c>
      <c r="B148" s="7" t="s">
        <v>352</v>
      </c>
      <c r="C148" s="7"/>
    </row>
    <row r="149" spans="1:13" s="20" customFormat="1" ht="18" x14ac:dyDescent="0.35">
      <c r="A149" s="227" t="s">
        <v>380</v>
      </c>
      <c r="B149" s="7" t="s">
        <v>381</v>
      </c>
      <c r="C149" s="7"/>
      <c r="D149" s="7"/>
      <c r="E149" s="7"/>
      <c r="F149" s="7"/>
    </row>
    <row r="150" spans="1:13" s="20" customFormat="1" ht="29.4" customHeight="1" x14ac:dyDescent="0.35">
      <c r="A150" s="20" t="s">
        <v>541</v>
      </c>
      <c r="B150" s="7" t="s">
        <v>542</v>
      </c>
      <c r="D150" s="7"/>
      <c r="E150" s="7"/>
      <c r="F150" s="7"/>
    </row>
    <row r="151" spans="1:13" s="20" customFormat="1" ht="18" x14ac:dyDescent="0.35">
      <c r="A151" s="513" t="s">
        <v>369</v>
      </c>
      <c r="B151" s="513"/>
      <c r="C151" s="513"/>
      <c r="D151" s="7"/>
      <c r="E151" s="7"/>
      <c r="F151" s="7"/>
    </row>
    <row r="152" spans="1:13" s="20" customFormat="1" ht="18" x14ac:dyDescent="0.35">
      <c r="A152" s="227"/>
      <c r="B152" s="7"/>
      <c r="C152" s="7"/>
      <c r="D152" s="7"/>
      <c r="E152" s="7"/>
      <c r="F152" s="7"/>
    </row>
    <row r="153" spans="1:13" x14ac:dyDescent="0.3">
      <c r="B153" s="6" t="s">
        <v>564</v>
      </c>
    </row>
    <row r="154" spans="1:13" x14ac:dyDescent="0.3">
      <c r="B154" s="6" t="s">
        <v>565</v>
      </c>
    </row>
    <row r="155" spans="1:13" x14ac:dyDescent="0.3">
      <c r="B155" s="6"/>
      <c r="C155" s="6"/>
      <c r="D155" s="6"/>
      <c r="E155" s="6"/>
      <c r="F155" s="6"/>
    </row>
    <row r="156" spans="1:13" x14ac:dyDescent="0.3">
      <c r="B156" s="225">
        <f>'BP CORRECTION  '!E38</f>
        <v>4051.43</v>
      </c>
      <c r="C156" s="8">
        <v>0.06</v>
      </c>
      <c r="D156" s="6">
        <f>ROUND(B156*C156,2)</f>
        <v>243.09</v>
      </c>
      <c r="E156" s="6"/>
      <c r="F156" s="6"/>
    </row>
    <row r="157" spans="1:13" x14ac:dyDescent="0.3">
      <c r="B157" s="225">
        <f>+B156</f>
        <v>4051.43</v>
      </c>
      <c r="C157" s="226">
        <v>1.7999999999999999E-2</v>
      </c>
      <c r="D157" s="6">
        <f>ROUND(B157*C157,2)</f>
        <v>72.930000000000007</v>
      </c>
      <c r="E157" s="6"/>
      <c r="F157" s="6"/>
    </row>
    <row r="158" spans="1:13" x14ac:dyDescent="0.3">
      <c r="D158" s="221">
        <f>D156+D157</f>
        <v>316.02</v>
      </c>
      <c r="E158" s="6"/>
      <c r="F158" s="6"/>
    </row>
    <row r="159" spans="1:13" x14ac:dyDescent="0.3">
      <c r="B159" s="6" t="s">
        <v>384</v>
      </c>
      <c r="C159" s="6"/>
      <c r="F159" s="6"/>
    </row>
    <row r="160" spans="1:13" x14ac:dyDescent="0.3">
      <c r="D160" s="312">
        <f>-'BP CORRECTION  '!J70</f>
        <v>15</v>
      </c>
      <c r="E160" t="s">
        <v>383</v>
      </c>
      <c r="J160" s="6" t="s">
        <v>547</v>
      </c>
    </row>
    <row r="161" spans="1:10" x14ac:dyDescent="0.3">
      <c r="D161" s="314"/>
      <c r="J161" s="6"/>
    </row>
    <row r="162" spans="1:10" x14ac:dyDescent="0.3">
      <c r="D162" s="313">
        <f>SUM(D158:D160)</f>
        <v>331.02</v>
      </c>
    </row>
    <row r="163" spans="1:10" x14ac:dyDescent="0.3">
      <c r="D163" s="310">
        <f>C46</f>
        <v>-15</v>
      </c>
    </row>
    <row r="164" spans="1:10" x14ac:dyDescent="0.3">
      <c r="D164" s="311">
        <f>D162+D163</f>
        <v>316.02</v>
      </c>
      <c r="E164" t="s">
        <v>382</v>
      </c>
      <c r="G164" t="s">
        <v>563</v>
      </c>
    </row>
    <row r="165" spans="1:10" x14ac:dyDescent="0.3">
      <c r="D165" s="314"/>
    </row>
    <row r="166" spans="1:10" x14ac:dyDescent="0.3">
      <c r="D166" s="314"/>
    </row>
    <row r="168" spans="1:10" x14ac:dyDescent="0.3">
      <c r="F168" s="550" t="s">
        <v>413</v>
      </c>
    </row>
    <row r="169" spans="1:10" x14ac:dyDescent="0.3">
      <c r="F169" s="550"/>
    </row>
    <row r="170" spans="1:10" x14ac:dyDescent="0.3">
      <c r="F170" s="550"/>
    </row>
    <row r="171" spans="1:10" x14ac:dyDescent="0.3">
      <c r="F171" s="550"/>
    </row>
    <row r="172" spans="1:10" x14ac:dyDescent="0.3">
      <c r="F172" s="550"/>
    </row>
    <row r="173" spans="1:10" hidden="1" x14ac:dyDescent="0.3">
      <c r="A173" s="531" t="s">
        <v>387</v>
      </c>
      <c r="B173" s="531"/>
      <c r="C173" s="531"/>
      <c r="D173" s="538" t="s">
        <v>54</v>
      </c>
      <c r="E173" s="515" t="s">
        <v>52</v>
      </c>
      <c r="F173" s="515" t="s">
        <v>53</v>
      </c>
      <c r="G173" s="505" t="s">
        <v>20</v>
      </c>
    </row>
    <row r="174" spans="1:10" hidden="1" x14ac:dyDescent="0.3">
      <c r="A174" s="531"/>
      <c r="B174" s="531"/>
      <c r="C174" s="531"/>
      <c r="D174" s="538"/>
      <c r="E174" s="515"/>
      <c r="F174" s="515"/>
      <c r="G174" s="505"/>
    </row>
    <row r="175" spans="1:10" hidden="1" x14ac:dyDescent="0.3">
      <c r="A175" s="531"/>
      <c r="B175" s="531"/>
      <c r="C175" s="531"/>
      <c r="D175" s="538"/>
      <c r="E175" s="515"/>
      <c r="F175" s="515"/>
      <c r="G175" s="505"/>
    </row>
    <row r="176" spans="1:10" hidden="1" x14ac:dyDescent="0.3">
      <c r="A176" s="532"/>
      <c r="B176" s="532"/>
      <c r="C176" s="532"/>
      <c r="D176" s="539"/>
      <c r="E176" s="516"/>
      <c r="F176" s="516"/>
      <c r="G176" s="517"/>
    </row>
    <row r="177" spans="1:15" ht="25.8" hidden="1" customHeight="1" x14ac:dyDescent="0.3">
      <c r="A177" s="514" t="s">
        <v>5</v>
      </c>
      <c r="B177" s="514"/>
      <c r="C177" s="254">
        <f>+C129</f>
        <v>1876</v>
      </c>
      <c r="D177" s="319">
        <f>C177</f>
        <v>1876</v>
      </c>
      <c r="E177" s="319">
        <f>D177</f>
        <v>1876</v>
      </c>
      <c r="F177" s="319">
        <f>E177</f>
        <v>1876</v>
      </c>
      <c r="G177" s="319">
        <f>F177</f>
        <v>1876</v>
      </c>
    </row>
    <row r="178" spans="1:15" ht="25.8" hidden="1" customHeight="1" x14ac:dyDescent="0.3">
      <c r="A178" s="514" t="s">
        <v>359</v>
      </c>
      <c r="B178" s="514"/>
      <c r="C178" s="254">
        <f>+C130</f>
        <v>0</v>
      </c>
      <c r="D178" s="319">
        <f t="shared" ref="D178:G187" si="23">C178</f>
        <v>0</v>
      </c>
      <c r="E178" s="319">
        <f t="shared" si="23"/>
        <v>0</v>
      </c>
      <c r="F178" s="319">
        <f t="shared" si="23"/>
        <v>0</v>
      </c>
      <c r="G178" s="319">
        <f t="shared" si="23"/>
        <v>0</v>
      </c>
    </row>
    <row r="179" spans="1:15" ht="25.8" hidden="1" customHeight="1" x14ac:dyDescent="0.3">
      <c r="A179" s="551" t="s">
        <v>398</v>
      </c>
      <c r="B179" s="552"/>
      <c r="C179" s="254">
        <f>'BP CORRECTION  '!J24</f>
        <v>0</v>
      </c>
      <c r="D179" s="319">
        <f>C179</f>
        <v>0</v>
      </c>
      <c r="E179" s="325"/>
      <c r="F179" s="325"/>
      <c r="G179" s="325"/>
      <c r="H179" s="493" t="s">
        <v>399</v>
      </c>
      <c r="I179" s="488"/>
      <c r="J179" s="488"/>
      <c r="K179" s="488"/>
      <c r="L179" s="488"/>
      <c r="M179" s="488"/>
      <c r="N179" s="488"/>
      <c r="O179" s="488"/>
    </row>
    <row r="180" spans="1:15" ht="25.8" hidden="1" customHeight="1" x14ac:dyDescent="0.3">
      <c r="A180" s="514" t="s">
        <v>360</v>
      </c>
      <c r="B180" s="514"/>
      <c r="C180" s="254">
        <f>+C131</f>
        <v>0</v>
      </c>
      <c r="D180" s="319">
        <f t="shared" si="23"/>
        <v>0</v>
      </c>
      <c r="E180" s="319">
        <f t="shared" si="23"/>
        <v>0</v>
      </c>
      <c r="F180" s="319">
        <f t="shared" si="23"/>
        <v>0</v>
      </c>
      <c r="G180" s="319">
        <f t="shared" si="23"/>
        <v>0</v>
      </c>
    </row>
    <row r="181" spans="1:15" ht="25.8" hidden="1" customHeight="1" x14ac:dyDescent="0.3">
      <c r="A181" s="514" t="s">
        <v>59</v>
      </c>
      <c r="B181" s="514"/>
      <c r="C181" s="254">
        <f>+C133</f>
        <v>154.61000000000001</v>
      </c>
      <c r="D181" s="319">
        <f t="shared" si="23"/>
        <v>154.61000000000001</v>
      </c>
      <c r="E181" s="319">
        <f t="shared" si="23"/>
        <v>154.61000000000001</v>
      </c>
      <c r="F181" s="319">
        <f t="shared" si="23"/>
        <v>154.61000000000001</v>
      </c>
      <c r="G181" s="319">
        <f t="shared" si="23"/>
        <v>154.61000000000001</v>
      </c>
    </row>
    <row r="182" spans="1:15" ht="25.8" hidden="1" customHeight="1" x14ac:dyDescent="0.3">
      <c r="A182" s="514" t="s">
        <v>209</v>
      </c>
      <c r="B182" s="514"/>
      <c r="C182" s="254">
        <f>+C134</f>
        <v>117.92</v>
      </c>
      <c r="D182" s="319">
        <f t="shared" si="23"/>
        <v>117.92</v>
      </c>
      <c r="E182" s="319"/>
      <c r="F182" s="320"/>
      <c r="G182" s="320"/>
    </row>
    <row r="183" spans="1:15" ht="25.8" hidden="1" customHeight="1" x14ac:dyDescent="0.3">
      <c r="A183" s="514" t="s">
        <v>0</v>
      </c>
      <c r="B183" s="514"/>
      <c r="C183" s="254">
        <f>+C135</f>
        <v>226.60000000000002</v>
      </c>
      <c r="D183" s="319">
        <f t="shared" si="23"/>
        <v>226.60000000000002</v>
      </c>
      <c r="E183" s="319"/>
      <c r="F183" s="320"/>
      <c r="G183" s="320"/>
    </row>
    <row r="184" spans="1:15" ht="25.8" hidden="1" customHeight="1" x14ac:dyDescent="0.3">
      <c r="A184" s="514" t="s">
        <v>0</v>
      </c>
      <c r="B184" s="514"/>
      <c r="C184" s="254">
        <f>+C136</f>
        <v>28.6</v>
      </c>
      <c r="D184" s="319">
        <f t="shared" si="23"/>
        <v>28.6</v>
      </c>
      <c r="E184" s="319"/>
      <c r="F184" s="320"/>
      <c r="G184" s="320"/>
    </row>
    <row r="185" spans="1:15" ht="25.8" hidden="1" customHeight="1" x14ac:dyDescent="0.3">
      <c r="A185" s="514" t="s">
        <v>363</v>
      </c>
      <c r="B185" s="514"/>
      <c r="C185" s="254">
        <f>+C137</f>
        <v>0</v>
      </c>
      <c r="D185" s="319">
        <f t="shared" si="23"/>
        <v>0</v>
      </c>
      <c r="E185" s="319"/>
      <c r="F185" s="320"/>
      <c r="G185" s="320"/>
    </row>
    <row r="186" spans="1:15" ht="25.8" hidden="1" customHeight="1" x14ac:dyDescent="0.3">
      <c r="A186" s="23" t="s">
        <v>379</v>
      </c>
      <c r="B186" s="320"/>
      <c r="C186" s="254">
        <v>4</v>
      </c>
      <c r="D186" s="319"/>
      <c r="E186" s="319"/>
      <c r="F186" s="320"/>
      <c r="G186" s="320"/>
    </row>
    <row r="187" spans="1:15" ht="25.8" hidden="1" customHeight="1" x14ac:dyDescent="0.3">
      <c r="A187" s="514" t="s">
        <v>346</v>
      </c>
      <c r="B187" s="514"/>
      <c r="C187" s="254">
        <f>+C139</f>
        <v>2000</v>
      </c>
      <c r="D187" s="319">
        <f t="shared" si="23"/>
        <v>2000</v>
      </c>
      <c r="E187" s="319">
        <f t="shared" si="23"/>
        <v>2000</v>
      </c>
      <c r="F187" s="320"/>
      <c r="G187" s="320"/>
    </row>
    <row r="188" spans="1:15" ht="25.8" hidden="1" customHeight="1" x14ac:dyDescent="0.3">
      <c r="A188" s="514" t="s">
        <v>210</v>
      </c>
      <c r="B188" s="514"/>
      <c r="C188" s="254">
        <f>+C140</f>
        <v>4403.7299999999996</v>
      </c>
      <c r="D188" s="319">
        <f>SUM(D177:D187)</f>
        <v>4403.7299999999996</v>
      </c>
      <c r="E188" s="321">
        <f>SUM(E177:E187)</f>
        <v>4030.61</v>
      </c>
      <c r="F188" s="321">
        <f>SUM(F177:F187)</f>
        <v>2030.6100000000001</v>
      </c>
      <c r="G188" s="341">
        <f>SUM(G177:G187)</f>
        <v>2030.6100000000001</v>
      </c>
    </row>
    <row r="189" spans="1:15" ht="25.8" hidden="1" customHeight="1" x14ac:dyDescent="0.3">
      <c r="A189" s="514" t="s">
        <v>15</v>
      </c>
      <c r="B189" s="514"/>
      <c r="C189" s="315">
        <f>C188*(1-'MASQUE DE SAISIE '!G16)</f>
        <v>4051.4315999999999</v>
      </c>
      <c r="D189" s="321">
        <f>D188*(1-'MASQUE DE SAISIE '!$G$16)</f>
        <v>4051.4315999999999</v>
      </c>
      <c r="E189" s="319"/>
      <c r="F189" s="319"/>
      <c r="G189" s="319"/>
    </row>
    <row r="192" spans="1:15" ht="25.2" customHeight="1" x14ac:dyDescent="0.3">
      <c r="B192" s="549" t="s">
        <v>412</v>
      </c>
      <c r="C192" s="549"/>
      <c r="D192" s="549"/>
      <c r="E192" s="549"/>
      <c r="F192" s="549"/>
      <c r="G192" s="549"/>
    </row>
    <row r="194" spans="2:7" s="7" customFormat="1" ht="36" customHeight="1" x14ac:dyDescent="0.3">
      <c r="D194" s="476" t="s">
        <v>405</v>
      </c>
      <c r="E194" s="476"/>
      <c r="F194" s="476"/>
      <c r="G194" s="476"/>
    </row>
    <row r="195" spans="2:7" s="7" customFormat="1" ht="15.6" x14ac:dyDescent="0.3">
      <c r="B195" s="476" t="s">
        <v>406</v>
      </c>
      <c r="C195" s="476"/>
      <c r="D195" s="116">
        <v>75</v>
      </c>
      <c r="E195" s="512" t="s">
        <v>407</v>
      </c>
      <c r="F195" s="116">
        <v>4</v>
      </c>
      <c r="G195" s="476" t="s">
        <v>408</v>
      </c>
    </row>
    <row r="196" spans="2:7" s="7" customFormat="1" ht="15.6" x14ac:dyDescent="0.3">
      <c r="B196" s="476"/>
      <c r="C196" s="476"/>
      <c r="D196" s="116">
        <v>78</v>
      </c>
      <c r="E196" s="476"/>
      <c r="F196" s="116">
        <v>5</v>
      </c>
      <c r="G196" s="476"/>
    </row>
    <row r="197" spans="2:7" s="7" customFormat="1" ht="15.6" x14ac:dyDescent="0.3">
      <c r="B197" s="476"/>
      <c r="C197" s="476"/>
      <c r="D197" s="116">
        <v>91</v>
      </c>
      <c r="E197" s="476"/>
      <c r="F197" s="116">
        <v>6</v>
      </c>
      <c r="G197" s="476"/>
    </row>
    <row r="198" spans="2:7" s="7" customFormat="1" ht="15.6" x14ac:dyDescent="0.3">
      <c r="B198" s="476"/>
      <c r="C198" s="476"/>
      <c r="D198" s="116">
        <v>92</v>
      </c>
      <c r="E198" s="476"/>
      <c r="F198" s="116">
        <v>13</v>
      </c>
      <c r="G198" s="476"/>
    </row>
    <row r="199" spans="2:7" s="7" customFormat="1" ht="15.6" x14ac:dyDescent="0.3">
      <c r="B199" s="476"/>
      <c r="C199" s="476"/>
      <c r="D199" s="116">
        <v>93</v>
      </c>
      <c r="E199" s="476"/>
      <c r="F199" s="116">
        <v>83</v>
      </c>
      <c r="G199" s="476"/>
    </row>
    <row r="200" spans="2:7" s="7" customFormat="1" ht="15.6" x14ac:dyDescent="0.3">
      <c r="B200" s="476"/>
      <c r="C200" s="476"/>
      <c r="D200" s="116">
        <v>95</v>
      </c>
      <c r="E200" s="476"/>
      <c r="F200" s="116">
        <v>84</v>
      </c>
      <c r="G200" s="476"/>
    </row>
    <row r="201" spans="2:7" s="7" customFormat="1" ht="31.2" x14ac:dyDescent="0.3">
      <c r="B201" s="476"/>
      <c r="C201" s="476"/>
      <c r="D201" s="116">
        <v>95</v>
      </c>
      <c r="E201" s="476"/>
      <c r="F201" s="116">
        <v>42</v>
      </c>
      <c r="G201" s="116" t="s">
        <v>409</v>
      </c>
    </row>
    <row r="202" spans="2:7" s="7" customFormat="1" ht="15.6" x14ac:dyDescent="0.3">
      <c r="B202" s="476"/>
      <c r="C202" s="476"/>
      <c r="D202" s="476" t="s">
        <v>410</v>
      </c>
      <c r="E202" s="476"/>
      <c r="F202" s="175"/>
      <c r="G202" s="175"/>
    </row>
    <row r="203" spans="2:7" s="7" customFormat="1" ht="15.6" x14ac:dyDescent="0.3">
      <c r="B203" s="476"/>
      <c r="C203" s="476"/>
      <c r="D203" s="350">
        <v>77</v>
      </c>
      <c r="E203" s="116" t="s">
        <v>411</v>
      </c>
      <c r="F203" s="175"/>
      <c r="G203" s="175"/>
    </row>
  </sheetData>
  <mergeCells count="115">
    <mergeCell ref="F94:F97"/>
    <mergeCell ref="G94:G97"/>
    <mergeCell ref="A114:H114"/>
    <mergeCell ref="A115:I115"/>
    <mergeCell ref="A116:J116"/>
    <mergeCell ref="A117:J117"/>
    <mergeCell ref="K125:K128"/>
    <mergeCell ref="L125:L128"/>
    <mergeCell ref="D202:E202"/>
    <mergeCell ref="B192:G192"/>
    <mergeCell ref="F168:F172"/>
    <mergeCell ref="A184:B184"/>
    <mergeCell ref="A185:B185"/>
    <mergeCell ref="A187:B187"/>
    <mergeCell ref="A188:B188"/>
    <mergeCell ref="A189:B189"/>
    <mergeCell ref="B195:C203"/>
    <mergeCell ref="A179:B179"/>
    <mergeCell ref="D194:G194"/>
    <mergeCell ref="A109:D109"/>
    <mergeCell ref="E124:F124"/>
    <mergeCell ref="H125:H128"/>
    <mergeCell ref="I125:I128"/>
    <mergeCell ref="J38:O40"/>
    <mergeCell ref="A94:D97"/>
    <mergeCell ref="A173:C176"/>
    <mergeCell ref="A132:B132"/>
    <mergeCell ref="A101:D101"/>
    <mergeCell ref="A78:B78"/>
    <mergeCell ref="A80:B80"/>
    <mergeCell ref="A100:D100"/>
    <mergeCell ref="A112:D112"/>
    <mergeCell ref="A113:D113"/>
    <mergeCell ref="A59:E59"/>
    <mergeCell ref="D173:D176"/>
    <mergeCell ref="N125:N128"/>
    <mergeCell ref="G92:G93"/>
    <mergeCell ref="A74:D74"/>
    <mergeCell ref="A72:D72"/>
    <mergeCell ref="A88:B88"/>
    <mergeCell ref="A89:B89"/>
    <mergeCell ref="E94:E97"/>
    <mergeCell ref="A145:G145"/>
    <mergeCell ref="D125:D128"/>
    <mergeCell ref="E125:E128"/>
    <mergeCell ref="F125:F128"/>
    <mergeCell ref="G125:G128"/>
    <mergeCell ref="A82:B82"/>
    <mergeCell ref="A83:B83"/>
    <mergeCell ref="A84:B84"/>
    <mergeCell ref="C16:D16"/>
    <mergeCell ref="C35:D35"/>
    <mergeCell ref="A65:D65"/>
    <mergeCell ref="A66:D66"/>
    <mergeCell ref="A67:D67"/>
    <mergeCell ref="A68:D68"/>
    <mergeCell ref="A69:D69"/>
    <mergeCell ref="A70:D70"/>
    <mergeCell ref="A71:D71"/>
    <mergeCell ref="A61:D61"/>
    <mergeCell ref="A62:D62"/>
    <mergeCell ref="A63:D63"/>
    <mergeCell ref="A64:D64"/>
    <mergeCell ref="A73:D73"/>
    <mergeCell ref="A76:B76"/>
    <mergeCell ref="A81:B81"/>
    <mergeCell ref="C20:D20"/>
    <mergeCell ref="A85:B85"/>
    <mergeCell ref="A86:B86"/>
    <mergeCell ref="A98:D98"/>
    <mergeCell ref="A99:D99"/>
    <mergeCell ref="A102:D102"/>
    <mergeCell ref="E195:E201"/>
    <mergeCell ref="G195:G200"/>
    <mergeCell ref="H179:O179"/>
    <mergeCell ref="A151:C151"/>
    <mergeCell ref="A178:B178"/>
    <mergeCell ref="A177:B177"/>
    <mergeCell ref="A181:B181"/>
    <mergeCell ref="A182:B182"/>
    <mergeCell ref="A183:B183"/>
    <mergeCell ref="E173:E176"/>
    <mergeCell ref="F173:F176"/>
    <mergeCell ref="G173:G176"/>
    <mergeCell ref="A180:B180"/>
    <mergeCell ref="L94:L97"/>
    <mergeCell ref="H94:H97"/>
    <mergeCell ref="I94:I97"/>
    <mergeCell ref="J125:J128"/>
    <mergeCell ref="A118:J118"/>
    <mergeCell ref="A119:J119"/>
    <mergeCell ref="J16:O16"/>
    <mergeCell ref="J22:L22"/>
    <mergeCell ref="A146:C146"/>
    <mergeCell ref="A77:B77"/>
    <mergeCell ref="A79:B79"/>
    <mergeCell ref="A130:B130"/>
    <mergeCell ref="A131:B131"/>
    <mergeCell ref="A143:C143"/>
    <mergeCell ref="A87:B87"/>
    <mergeCell ref="A103:D103"/>
    <mergeCell ref="A104:D104"/>
    <mergeCell ref="A105:D105"/>
    <mergeCell ref="A106:D106"/>
    <mergeCell ref="A107:D107"/>
    <mergeCell ref="A108:D108"/>
    <mergeCell ref="A111:D111"/>
    <mergeCell ref="K107:L107"/>
    <mergeCell ref="M125:M128"/>
    <mergeCell ref="A144:F144"/>
    <mergeCell ref="N94:N97"/>
    <mergeCell ref="H45:I45"/>
    <mergeCell ref="M94:M97"/>
    <mergeCell ref="J94:J97"/>
    <mergeCell ref="K94:K97"/>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4294967293" verticalDpi="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1ABFC-BE2F-4BF3-8F8C-0518B02A045A}">
  <dimension ref="B1:K53"/>
  <sheetViews>
    <sheetView workbookViewId="0">
      <selection activeCell="D8" sqref="D8"/>
    </sheetView>
  </sheetViews>
  <sheetFormatPr baseColWidth="10" defaultColWidth="11.44140625" defaultRowHeight="15.6" x14ac:dyDescent="0.3"/>
  <cols>
    <col min="1" max="1" width="3.33203125" style="7" customWidth="1"/>
    <col min="2" max="3" width="25.6640625" style="7" customWidth="1"/>
    <col min="4" max="4" width="11.44140625" style="7"/>
    <col min="5" max="5" width="11.88671875" style="203" bestFit="1" customWidth="1"/>
    <col min="6" max="6" width="17.88671875" style="7" bestFit="1" customWidth="1"/>
    <col min="7" max="7" width="18.88671875" style="7" bestFit="1" customWidth="1"/>
    <col min="8" max="16384" width="11.44140625" style="7"/>
  </cols>
  <sheetData>
    <row r="1" spans="2:11" ht="20.25" customHeight="1" x14ac:dyDescent="0.3">
      <c r="B1" s="734" t="s">
        <v>335</v>
      </c>
      <c r="C1" s="734"/>
      <c r="D1" s="734"/>
      <c r="E1" s="734"/>
      <c r="F1" s="734"/>
      <c r="G1" s="734"/>
      <c r="H1" s="734"/>
    </row>
    <row r="2" spans="2:11" ht="14.25" customHeight="1" x14ac:dyDescent="0.3"/>
    <row r="3" spans="2:11" ht="14.25" customHeight="1" x14ac:dyDescent="0.3"/>
    <row r="5" spans="2:11" ht="14.25" customHeight="1" x14ac:dyDescent="0.3">
      <c r="G5" s="7" t="s">
        <v>336</v>
      </c>
      <c r="K5" s="204">
        <v>45778</v>
      </c>
    </row>
    <row r="6" spans="2:11" ht="14.25" customHeight="1" x14ac:dyDescent="0.3">
      <c r="B6" s="116" t="s">
        <v>337</v>
      </c>
      <c r="C6" s="116" t="s">
        <v>338</v>
      </c>
      <c r="D6" s="116" t="s">
        <v>28</v>
      </c>
      <c r="E6" s="116"/>
      <c r="G6" s="7" t="s">
        <v>339</v>
      </c>
      <c r="K6" s="205"/>
    </row>
    <row r="7" spans="2:11" ht="14.25" customHeight="1" x14ac:dyDescent="0.3">
      <c r="B7" s="206">
        <v>0</v>
      </c>
      <c r="C7" s="206">
        <f>IF('BP CORRECTION  '!H9&lt;$K$5,'TAUX NEUTRE  JANVIER '!C7,'TAUX NEUTRE MAI '!C7)</f>
        <v>1591</v>
      </c>
      <c r="D7" s="206">
        <v>0</v>
      </c>
      <c r="E7" s="207">
        <f t="shared" ref="E7:E26" si="0" xml:space="preserve"> IF($H$11&gt;=B7,IF($H$11&lt;C7,D7,0),0)</f>
        <v>0</v>
      </c>
    </row>
    <row r="8" spans="2:11" ht="14.25" customHeight="1" x14ac:dyDescent="0.3">
      <c r="B8" s="206">
        <f>C7</f>
        <v>1591</v>
      </c>
      <c r="C8" s="206">
        <f>IF('BP CORRECTION  '!$H$9&lt;$K$5,'TAUX NEUTRE  JANVIER '!C8,'TAUX NEUTRE MAI '!C8)</f>
        <v>1653</v>
      </c>
      <c r="D8" s="124">
        <f>IF('BP CORRECTION  '!$H$9&gt;='TAUX NEUTRE '!$K$5,'TAUX NEUTRE MAI '!D8,'TAUX NEUTRE  JANVIER '!D8)</f>
        <v>5.0000000000000001E-3</v>
      </c>
      <c r="E8" s="124">
        <f t="shared" si="0"/>
        <v>0</v>
      </c>
    </row>
    <row r="9" spans="2:11" ht="14.25" customHeight="1" x14ac:dyDescent="0.3">
      <c r="B9" s="206">
        <f t="shared" ref="B9:B26" si="1">C8</f>
        <v>1653</v>
      </c>
      <c r="C9" s="206">
        <f>IF('BP CORRECTION  '!$H$9&lt;$K$5,'TAUX NEUTRE  JANVIER '!C9,'TAUX NEUTRE MAI '!C9)</f>
        <v>1759</v>
      </c>
      <c r="D9" s="124">
        <f>IF('BP CORRECTION  '!$H$9&gt;='TAUX NEUTRE '!$K$5,'TAUX NEUTRE MAI '!D9,'TAUX NEUTRE  JANVIER '!D9)</f>
        <v>1.2999999999999999E-2</v>
      </c>
      <c r="E9" s="124">
        <f t="shared" si="0"/>
        <v>0</v>
      </c>
    </row>
    <row r="10" spans="2:11" ht="14.25" customHeight="1" x14ac:dyDescent="0.3">
      <c r="B10" s="206">
        <f t="shared" si="1"/>
        <v>1759</v>
      </c>
      <c r="C10" s="206">
        <f>IF('BP CORRECTION  '!$H$9&lt;$K$5,'TAUX NEUTRE  JANVIER '!C10,'TAUX NEUTRE MAI '!C10)</f>
        <v>1877</v>
      </c>
      <c r="D10" s="124">
        <f>IF('BP CORRECTION  '!$H$9&gt;='TAUX NEUTRE '!$K$5,'TAUX NEUTRE MAI '!D10,'TAUX NEUTRE  JANVIER '!D10)</f>
        <v>2.1000000000000001E-2</v>
      </c>
      <c r="E10" s="124">
        <f t="shared" si="0"/>
        <v>0</v>
      </c>
      <c r="G10" s="735" t="s">
        <v>340</v>
      </c>
      <c r="H10" s="735"/>
    </row>
    <row r="11" spans="2:11" ht="14.25" customHeight="1" x14ac:dyDescent="0.3">
      <c r="B11" s="206">
        <f t="shared" si="1"/>
        <v>1877</v>
      </c>
      <c r="C11" s="206">
        <f>IF('BP CORRECTION  '!$H$9&lt;$K$5,'TAUX NEUTRE  JANVIER '!C11,'TAUX NEUTRE MAI '!C11)</f>
        <v>2006</v>
      </c>
      <c r="D11" s="124">
        <f>IF('BP CORRECTION  '!$H$9&gt;='TAUX NEUTRE '!$K$5,'TAUX NEUTRE MAI '!D11,'TAUX NEUTRE  JANVIER '!D11)</f>
        <v>2.9000000000000001E-2</v>
      </c>
      <c r="E11" s="124">
        <f t="shared" si="0"/>
        <v>0</v>
      </c>
      <c r="G11" s="183" t="s">
        <v>341</v>
      </c>
      <c r="H11" s="208">
        <f>'BP CORRECTION  '!E83</f>
        <v>3266.1351429999995</v>
      </c>
    </row>
    <row r="12" spans="2:11" ht="14.25" customHeight="1" x14ac:dyDescent="0.3">
      <c r="B12" s="206">
        <f t="shared" si="1"/>
        <v>2006</v>
      </c>
      <c r="C12" s="206">
        <f>IF('BP CORRECTION  '!$H$9&lt;$K$5,'TAUX NEUTRE  JANVIER '!C12,'TAUX NEUTRE MAI '!C12)</f>
        <v>2113</v>
      </c>
      <c r="D12" s="124">
        <f>IF('BP CORRECTION  '!$H$9&gt;='TAUX NEUTRE '!$K$5,'TAUX NEUTRE MAI '!D12,'TAUX NEUTRE  JANVIER '!D12)</f>
        <v>3.5000000000000003E-2</v>
      </c>
      <c r="E12" s="124">
        <f t="shared" si="0"/>
        <v>0</v>
      </c>
      <c r="G12" s="183" t="s">
        <v>25</v>
      </c>
      <c r="H12" s="209">
        <f>E27</f>
        <v>9.9000000000000005E-2</v>
      </c>
    </row>
    <row r="13" spans="2:11" ht="14.25" customHeight="1" x14ac:dyDescent="0.3">
      <c r="B13" s="206">
        <f t="shared" si="1"/>
        <v>2113</v>
      </c>
      <c r="C13" s="206">
        <f>IF('BP CORRECTION  '!$H$9&lt;$K$5,'TAUX NEUTRE  JANVIER '!C13,'TAUX NEUTRE MAI '!C13)</f>
        <v>2253</v>
      </c>
      <c r="D13" s="124">
        <f>IF('BP CORRECTION  '!$H$9&gt;='TAUX NEUTRE '!$K$5,'TAUX NEUTRE MAI '!D13,'TAUX NEUTRE  JANVIER '!D13)</f>
        <v>4.1000000000000002E-2</v>
      </c>
      <c r="E13" s="124">
        <f t="shared" si="0"/>
        <v>0</v>
      </c>
    </row>
    <row r="14" spans="2:11" ht="14.25" customHeight="1" x14ac:dyDescent="0.3">
      <c r="B14" s="206">
        <f t="shared" si="1"/>
        <v>2253</v>
      </c>
      <c r="C14" s="206">
        <f>IF('BP CORRECTION  '!$H$9&lt;$K$5,'TAUX NEUTRE  JANVIER '!C14,'TAUX NEUTRE MAI '!C14)</f>
        <v>2666</v>
      </c>
      <c r="D14" s="124">
        <f>IF('BP CORRECTION  '!$H$9&gt;='TAUX NEUTRE '!$K$5,'TAUX NEUTRE MAI '!D14,'TAUX NEUTRE  JANVIER '!D14)</f>
        <v>5.2999999999999999E-2</v>
      </c>
      <c r="E14" s="124">
        <f t="shared" si="0"/>
        <v>0</v>
      </c>
    </row>
    <row r="15" spans="2:11" ht="14.25" customHeight="1" x14ac:dyDescent="0.3">
      <c r="B15" s="206">
        <f t="shared" si="1"/>
        <v>2666</v>
      </c>
      <c r="C15" s="206">
        <f>IF('BP CORRECTION  '!$H$9&lt;$K$5,'TAUX NEUTRE  JANVIER '!C15,'TAUX NEUTRE MAI '!C15)</f>
        <v>3052</v>
      </c>
      <c r="D15" s="124">
        <f>IF('BP CORRECTION  '!$H$9&gt;='TAUX NEUTRE '!$K$5,'TAUX NEUTRE MAI '!D15,'TAUX NEUTRE  JANVIER '!D15)</f>
        <v>7.4999999999999997E-2</v>
      </c>
      <c r="E15" s="124">
        <f t="shared" si="0"/>
        <v>0</v>
      </c>
    </row>
    <row r="16" spans="2:11" ht="14.25" customHeight="1" x14ac:dyDescent="0.3">
      <c r="B16" s="206">
        <f t="shared" si="1"/>
        <v>3052</v>
      </c>
      <c r="C16" s="206">
        <f>IF('BP CORRECTION  '!$H$9&lt;$K$5,'TAUX NEUTRE  JANVIER '!C16,'TAUX NEUTRE MAI '!C16)</f>
        <v>3476</v>
      </c>
      <c r="D16" s="124">
        <f>IF('BP CORRECTION  '!$H$9&gt;='TAUX NEUTRE '!$K$5,'TAUX NEUTRE MAI '!D16,'TAUX NEUTRE  JANVIER '!D16)</f>
        <v>9.9000000000000005E-2</v>
      </c>
      <c r="E16" s="124">
        <f t="shared" si="0"/>
        <v>9.9000000000000005E-2</v>
      </c>
    </row>
    <row r="17" spans="2:11" ht="14.25" customHeight="1" x14ac:dyDescent="0.3">
      <c r="B17" s="206">
        <f t="shared" si="1"/>
        <v>3476</v>
      </c>
      <c r="C17" s="206">
        <f>IF('BP CORRECTION  '!$H$9&lt;$K$5,'TAUX NEUTRE  JANVIER '!C17,'TAUX NEUTRE MAI '!C17)</f>
        <v>3913</v>
      </c>
      <c r="D17" s="124">
        <f>IF('BP CORRECTION  '!$H$9&gt;='TAUX NEUTRE '!$K$5,'TAUX NEUTRE MAI '!D17,'TAUX NEUTRE  JANVIER '!D17)</f>
        <v>0.11899999999999999</v>
      </c>
      <c r="E17" s="124">
        <f t="shared" si="0"/>
        <v>0</v>
      </c>
    </row>
    <row r="18" spans="2:11" ht="14.25" customHeight="1" x14ac:dyDescent="0.3">
      <c r="B18" s="206">
        <f t="shared" si="1"/>
        <v>3913</v>
      </c>
      <c r="C18" s="206">
        <f>IF('BP CORRECTION  '!$H$9&lt;$K$5,'TAUX NEUTRE  JANVIER '!C18,'TAUX NEUTRE MAI '!C18)</f>
        <v>4566</v>
      </c>
      <c r="D18" s="124">
        <f>IF('BP CORRECTION  '!$H$9&gt;='TAUX NEUTRE '!$K$5,'TAUX NEUTRE MAI '!D18,'TAUX NEUTRE  JANVIER '!D18)</f>
        <v>0.13800000000000001</v>
      </c>
      <c r="E18" s="124">
        <f t="shared" si="0"/>
        <v>0</v>
      </c>
    </row>
    <row r="19" spans="2:11" ht="14.25" customHeight="1" x14ac:dyDescent="0.3">
      <c r="B19" s="206">
        <f t="shared" si="1"/>
        <v>4566</v>
      </c>
      <c r="C19" s="206">
        <f>IF('BP CORRECTION  '!$H$9&lt;$K$5,'TAUX NEUTRE  JANVIER '!C19,'TAUX NEUTRE MAI '!C19)</f>
        <v>5475</v>
      </c>
      <c r="D19" s="124">
        <f>IF('BP CORRECTION  '!$H$9&gt;='TAUX NEUTRE '!$K$5,'TAUX NEUTRE MAI '!D19,'TAUX NEUTRE  JANVIER '!D19)</f>
        <v>0.158</v>
      </c>
      <c r="E19" s="124">
        <f t="shared" si="0"/>
        <v>0</v>
      </c>
    </row>
    <row r="20" spans="2:11" ht="14.25" customHeight="1" x14ac:dyDescent="0.3">
      <c r="B20" s="206">
        <f t="shared" si="1"/>
        <v>5475</v>
      </c>
      <c r="C20" s="206">
        <f>IF('BP CORRECTION  '!$H$9&lt;$K$5,'TAUX NEUTRE  JANVIER '!C20,'TAUX NEUTRE MAI '!C20)</f>
        <v>6851</v>
      </c>
      <c r="D20" s="124">
        <f>IF('BP CORRECTION  '!$H$9&gt;='TAUX NEUTRE '!$K$5,'TAUX NEUTRE MAI '!D20,'TAUX NEUTRE  JANVIER '!D20)</f>
        <v>0.17899999999999999</v>
      </c>
      <c r="E20" s="124">
        <f t="shared" si="0"/>
        <v>0</v>
      </c>
    </row>
    <row r="21" spans="2:11" ht="14.25" customHeight="1" x14ac:dyDescent="0.3">
      <c r="B21" s="206">
        <f t="shared" si="1"/>
        <v>6851</v>
      </c>
      <c r="C21" s="206">
        <f>IF('BP CORRECTION  '!$H$9&lt;$K$5,'TAUX NEUTRE  JANVIER '!C21,'TAUX NEUTRE MAI '!C21)</f>
        <v>8557</v>
      </c>
      <c r="D21" s="124">
        <f>IF('BP CORRECTION  '!$H$9&gt;='TAUX NEUTRE '!$K$5,'TAUX NEUTRE MAI '!D21,'TAUX NEUTRE  JANVIER '!D21)</f>
        <v>0.2</v>
      </c>
      <c r="E21" s="124">
        <f t="shared" si="0"/>
        <v>0</v>
      </c>
    </row>
    <row r="22" spans="2:11" ht="14.25" customHeight="1" x14ac:dyDescent="0.3">
      <c r="B22" s="206">
        <f t="shared" si="1"/>
        <v>8557</v>
      </c>
      <c r="C22" s="206">
        <f>IF('BP CORRECTION  '!$H$9&lt;$K$5,'TAUX NEUTRE  JANVIER '!C22,'TAUX NEUTRE MAI '!C22)</f>
        <v>11877</v>
      </c>
      <c r="D22" s="124">
        <f>IF('BP CORRECTION  '!$H$9&gt;='TAUX NEUTRE '!$K$5,'TAUX NEUTRE MAI '!D22,'TAUX NEUTRE  JANVIER '!D22)</f>
        <v>0.24</v>
      </c>
      <c r="E22" s="124">
        <f t="shared" si="0"/>
        <v>0</v>
      </c>
    </row>
    <row r="23" spans="2:11" ht="14.25" customHeight="1" x14ac:dyDescent="0.3">
      <c r="B23" s="206">
        <f t="shared" si="1"/>
        <v>11877</v>
      </c>
      <c r="C23" s="206">
        <f>IF('BP CORRECTION  '!$H$9&lt;$K$5,'TAUX NEUTRE  JANVIER '!C23,'TAUX NEUTRE MAI '!C23)</f>
        <v>16086</v>
      </c>
      <c r="D23" s="124">
        <f>IF('BP CORRECTION  '!$H$9&gt;='TAUX NEUTRE '!$K$5,'TAUX NEUTRE MAI '!D23,'TAUX NEUTRE  JANVIER '!D23)</f>
        <v>0.28000000000000003</v>
      </c>
      <c r="E23" s="124">
        <f t="shared" si="0"/>
        <v>0</v>
      </c>
    </row>
    <row r="24" spans="2:11" ht="14.25" customHeight="1" x14ac:dyDescent="0.3">
      <c r="B24" s="206">
        <f t="shared" si="1"/>
        <v>16086</v>
      </c>
      <c r="C24" s="206">
        <f>IF('BP CORRECTION  '!$H$9&lt;$K$5,'TAUX NEUTRE  JANVIER '!C24,'TAUX NEUTRE MAI '!C24)</f>
        <v>25251</v>
      </c>
      <c r="D24" s="124">
        <f>IF('BP CORRECTION  '!$H$9&gt;='TAUX NEUTRE '!$K$5,'TAUX NEUTRE MAI '!D24,'TAUX NEUTRE  JANVIER '!D24)</f>
        <v>0.33</v>
      </c>
      <c r="E24" s="124">
        <f t="shared" si="0"/>
        <v>0</v>
      </c>
    </row>
    <row r="25" spans="2:11" ht="14.25" customHeight="1" x14ac:dyDescent="0.3">
      <c r="B25" s="206">
        <f t="shared" si="1"/>
        <v>25251</v>
      </c>
      <c r="C25" s="206">
        <f>IF('BP CORRECTION  '!$H$9&lt;$K$5,'TAUX NEUTRE  JANVIER '!C25,'TAUX NEUTRE MAI '!C25)</f>
        <v>54088</v>
      </c>
      <c r="D25" s="124">
        <f>IF('BP CORRECTION  '!$H$9&gt;='TAUX NEUTRE '!$K$5,'TAUX NEUTRE MAI '!D25,'TAUX NEUTRE  JANVIER '!D25)</f>
        <v>0.38</v>
      </c>
      <c r="E25" s="124">
        <f t="shared" si="0"/>
        <v>0</v>
      </c>
    </row>
    <row r="26" spans="2:11" ht="14.25" customHeight="1" x14ac:dyDescent="0.3">
      <c r="B26" s="206">
        <f t="shared" si="1"/>
        <v>54088</v>
      </c>
      <c r="C26" s="206">
        <f>IF('BP CORRECTION  '!$H$9&lt;$K$5,'TAUX NEUTRE  JANVIER '!C26,'TAUX NEUTRE MAI '!C26)</f>
        <v>99999999999</v>
      </c>
      <c r="D26" s="124">
        <f>IF('BP CORRECTION  '!$H$9&gt;='TAUX NEUTRE '!$K$5,'TAUX NEUTRE MAI '!D26,'TAUX NEUTRE  JANVIER '!D26)</f>
        <v>0.43</v>
      </c>
      <c r="E26" s="124">
        <f t="shared" si="0"/>
        <v>0</v>
      </c>
    </row>
    <row r="27" spans="2:11" ht="14.25" customHeight="1" x14ac:dyDescent="0.3">
      <c r="B27" s="182"/>
      <c r="E27" s="210">
        <f>SUM(E7:E26)</f>
        <v>9.9000000000000005E-2</v>
      </c>
    </row>
    <row r="28" spans="2:11" ht="18" customHeight="1" x14ac:dyDescent="0.3"/>
    <row r="29" spans="2:11" ht="14.25" hidden="1" customHeight="1" x14ac:dyDescent="0.3">
      <c r="J29" s="488"/>
      <c r="K29" s="488"/>
    </row>
    <row r="30" spans="2:11" ht="14.25" hidden="1" customHeight="1" x14ac:dyDescent="0.3">
      <c r="B30" s="116" t="s">
        <v>337</v>
      </c>
      <c r="C30" s="116" t="s">
        <v>338</v>
      </c>
      <c r="D30" s="116" t="s">
        <v>28</v>
      </c>
      <c r="E30" s="116"/>
      <c r="K30" s="211"/>
    </row>
    <row r="31" spans="2:11" ht="14.25" hidden="1" customHeight="1" x14ac:dyDescent="0.3">
      <c r="B31" s="212">
        <v>0</v>
      </c>
      <c r="C31" s="212">
        <v>1440</v>
      </c>
      <c r="D31" s="212">
        <v>0</v>
      </c>
      <c r="E31" s="213">
        <f t="shared" ref="E31:E50" si="2" xml:space="preserve"> IF($G$34&gt;=B31,IF($G$34&lt;C31,D31,0),0)</f>
        <v>0</v>
      </c>
      <c r="K31" s="214"/>
    </row>
    <row r="32" spans="2:11" ht="14.25" hidden="1" customHeight="1" x14ac:dyDescent="0.3">
      <c r="B32" s="212">
        <f>C31</f>
        <v>1440</v>
      </c>
      <c r="C32" s="212">
        <v>1496</v>
      </c>
      <c r="D32" s="215">
        <v>5.0000000000000001E-3</v>
      </c>
      <c r="E32" s="210">
        <f t="shared" si="2"/>
        <v>0</v>
      </c>
      <c r="F32" s="216"/>
    </row>
    <row r="33" spans="2:7" ht="14.25" hidden="1" customHeight="1" x14ac:dyDescent="0.3">
      <c r="B33" s="212">
        <f t="shared" ref="B33:B50" si="3">C32</f>
        <v>1496</v>
      </c>
      <c r="C33" s="212">
        <v>1592</v>
      </c>
      <c r="D33" s="215">
        <v>1.2999999999999999E-2</v>
      </c>
      <c r="E33" s="210">
        <f t="shared" si="2"/>
        <v>0</v>
      </c>
      <c r="F33" s="216"/>
      <c r="G33" s="183" t="s">
        <v>342</v>
      </c>
    </row>
    <row r="34" spans="2:7" ht="14.25" hidden="1" customHeight="1" x14ac:dyDescent="0.3">
      <c r="B34" s="212">
        <f t="shared" si="3"/>
        <v>1592</v>
      </c>
      <c r="C34" s="212">
        <v>1699</v>
      </c>
      <c r="D34" s="210">
        <v>2.1000000000000001E-2</v>
      </c>
      <c r="E34" s="210">
        <f t="shared" si="2"/>
        <v>0</v>
      </c>
      <c r="F34" s="216"/>
      <c r="G34" s="208"/>
    </row>
    <row r="35" spans="2:7" ht="14.25" hidden="1" customHeight="1" x14ac:dyDescent="0.3">
      <c r="B35" s="212">
        <f t="shared" si="3"/>
        <v>1699</v>
      </c>
      <c r="C35" s="212">
        <v>1816</v>
      </c>
      <c r="D35" s="210">
        <v>2.9000000000000001E-2</v>
      </c>
      <c r="E35" s="210">
        <f t="shared" si="2"/>
        <v>0</v>
      </c>
      <c r="F35" s="216"/>
      <c r="G35" s="209"/>
    </row>
    <row r="36" spans="2:7" ht="14.25" hidden="1" customHeight="1" x14ac:dyDescent="0.3">
      <c r="B36" s="212">
        <f t="shared" si="3"/>
        <v>1816</v>
      </c>
      <c r="C36" s="212">
        <v>1913</v>
      </c>
      <c r="D36" s="210">
        <v>3.5000000000000003E-2</v>
      </c>
      <c r="E36" s="210">
        <f t="shared" si="2"/>
        <v>0</v>
      </c>
      <c r="F36" s="216"/>
    </row>
    <row r="37" spans="2:7" ht="14.25" hidden="1" customHeight="1" x14ac:dyDescent="0.3">
      <c r="B37" s="212">
        <f t="shared" si="3"/>
        <v>1913</v>
      </c>
      <c r="C37" s="212">
        <v>2040</v>
      </c>
      <c r="D37" s="210">
        <v>4.1000000000000002E-2</v>
      </c>
      <c r="E37" s="210">
        <f t="shared" si="2"/>
        <v>0</v>
      </c>
      <c r="F37" s="216"/>
    </row>
    <row r="38" spans="2:7" ht="14.25" hidden="1" customHeight="1" x14ac:dyDescent="0.3">
      <c r="B38" s="212">
        <f t="shared" si="3"/>
        <v>2040</v>
      </c>
      <c r="C38" s="212">
        <v>2414</v>
      </c>
      <c r="D38" s="210">
        <v>5.2999999999999999E-2</v>
      </c>
      <c r="E38" s="210">
        <f t="shared" si="2"/>
        <v>0</v>
      </c>
      <c r="F38" s="216"/>
    </row>
    <row r="39" spans="2:7" ht="14.25" hidden="1" customHeight="1" x14ac:dyDescent="0.3">
      <c r="B39" s="212">
        <f t="shared" si="3"/>
        <v>2414</v>
      </c>
      <c r="C39" s="212">
        <v>2763</v>
      </c>
      <c r="D39" s="210">
        <v>7.4999999999999997E-2</v>
      </c>
      <c r="E39" s="210">
        <f t="shared" si="2"/>
        <v>0</v>
      </c>
      <c r="F39" s="216"/>
    </row>
    <row r="40" spans="2:7" ht="14.25" hidden="1" customHeight="1" x14ac:dyDescent="0.3">
      <c r="B40" s="212">
        <f t="shared" si="3"/>
        <v>2763</v>
      </c>
      <c r="C40" s="212">
        <v>3147</v>
      </c>
      <c r="D40" s="210">
        <v>9.9000000000000005E-2</v>
      </c>
      <c r="E40" s="210">
        <f t="shared" si="2"/>
        <v>0</v>
      </c>
      <c r="F40" s="216"/>
    </row>
    <row r="41" spans="2:7" ht="14.25" hidden="1" customHeight="1" x14ac:dyDescent="0.3">
      <c r="B41" s="212">
        <f t="shared" si="3"/>
        <v>3147</v>
      </c>
      <c r="C41" s="212">
        <v>3543</v>
      </c>
      <c r="D41" s="210">
        <v>0.11899999999999999</v>
      </c>
      <c r="E41" s="210">
        <f t="shared" si="2"/>
        <v>0</v>
      </c>
      <c r="F41" s="216"/>
    </row>
    <row r="42" spans="2:7" ht="14.25" hidden="1" customHeight="1" x14ac:dyDescent="0.3">
      <c r="B42" s="212">
        <f t="shared" si="3"/>
        <v>3543</v>
      </c>
      <c r="C42" s="212">
        <v>4134</v>
      </c>
      <c r="D42" s="210">
        <v>0.13800000000000001</v>
      </c>
      <c r="E42" s="210">
        <f t="shared" si="2"/>
        <v>0</v>
      </c>
      <c r="F42" s="216"/>
    </row>
    <row r="43" spans="2:7" ht="14.25" hidden="1" customHeight="1" x14ac:dyDescent="0.3">
      <c r="B43" s="212">
        <f t="shared" si="3"/>
        <v>4134</v>
      </c>
      <c r="C43" s="212">
        <v>4956</v>
      </c>
      <c r="D43" s="210">
        <v>0.158</v>
      </c>
      <c r="E43" s="210">
        <f t="shared" si="2"/>
        <v>0</v>
      </c>
      <c r="F43" s="216"/>
    </row>
    <row r="44" spans="2:7" ht="14.25" hidden="1" customHeight="1" x14ac:dyDescent="0.3">
      <c r="B44" s="212">
        <f t="shared" si="3"/>
        <v>4956</v>
      </c>
      <c r="C44" s="212">
        <v>6202</v>
      </c>
      <c r="D44" s="210">
        <v>0.17899999999999999</v>
      </c>
      <c r="E44" s="210">
        <f t="shared" si="2"/>
        <v>0</v>
      </c>
      <c r="F44" s="216"/>
    </row>
    <row r="45" spans="2:7" ht="14.25" hidden="1" customHeight="1" x14ac:dyDescent="0.3">
      <c r="B45" s="212">
        <f t="shared" si="3"/>
        <v>6202</v>
      </c>
      <c r="C45" s="212">
        <v>7747</v>
      </c>
      <c r="D45" s="210">
        <v>0.2</v>
      </c>
      <c r="E45" s="210">
        <f t="shared" si="2"/>
        <v>0</v>
      </c>
      <c r="F45" s="216"/>
    </row>
    <row r="46" spans="2:7" ht="14.25" hidden="1" customHeight="1" x14ac:dyDescent="0.3">
      <c r="B46" s="212">
        <f t="shared" si="3"/>
        <v>7747</v>
      </c>
      <c r="C46" s="212">
        <v>10752</v>
      </c>
      <c r="D46" s="210">
        <v>0.24</v>
      </c>
      <c r="E46" s="210">
        <f t="shared" si="2"/>
        <v>0</v>
      </c>
      <c r="F46" s="216"/>
    </row>
    <row r="47" spans="2:7" ht="14.25" hidden="1" customHeight="1" x14ac:dyDescent="0.3">
      <c r="B47" s="212">
        <f t="shared" si="3"/>
        <v>10752</v>
      </c>
      <c r="C47" s="212">
        <v>14563</v>
      </c>
      <c r="D47" s="210">
        <v>0.28000000000000003</v>
      </c>
      <c r="E47" s="210">
        <f t="shared" si="2"/>
        <v>0</v>
      </c>
      <c r="F47" s="216"/>
    </row>
    <row r="48" spans="2:7" ht="14.25" hidden="1" customHeight="1" x14ac:dyDescent="0.3">
      <c r="B48" s="212">
        <f t="shared" si="3"/>
        <v>14563</v>
      </c>
      <c r="C48" s="212">
        <v>22860</v>
      </c>
      <c r="D48" s="210">
        <v>0.33</v>
      </c>
      <c r="E48" s="210">
        <f t="shared" si="2"/>
        <v>0</v>
      </c>
      <c r="F48" s="216"/>
    </row>
    <row r="49" spans="2:6" ht="14.25" hidden="1" customHeight="1" x14ac:dyDescent="0.3">
      <c r="B49" s="212">
        <f t="shared" si="3"/>
        <v>22860</v>
      </c>
      <c r="C49" s="212">
        <v>48967</v>
      </c>
      <c r="D49" s="210">
        <v>0.38</v>
      </c>
      <c r="E49" s="210">
        <f t="shared" si="2"/>
        <v>0</v>
      </c>
      <c r="F49" s="216"/>
    </row>
    <row r="50" spans="2:6" ht="14.25" hidden="1" customHeight="1" x14ac:dyDescent="0.3">
      <c r="B50" s="212">
        <f t="shared" si="3"/>
        <v>48967</v>
      </c>
      <c r="C50" s="217">
        <v>99999999999</v>
      </c>
      <c r="D50" s="210">
        <v>0.43</v>
      </c>
      <c r="E50" s="210">
        <f t="shared" si="2"/>
        <v>0</v>
      </c>
      <c r="F50" s="216"/>
    </row>
    <row r="51" spans="2:6" ht="14.25" hidden="1" customHeight="1" x14ac:dyDescent="0.3">
      <c r="B51" s="182"/>
      <c r="E51" s="210">
        <f>SUM(E31:E50)</f>
        <v>0</v>
      </c>
      <c r="F51" s="218"/>
    </row>
    <row r="52" spans="2:6" ht="15" hidden="1" customHeight="1" x14ac:dyDescent="0.3"/>
    <row r="53" spans="2:6" ht="15" hidden="1" customHeight="1" x14ac:dyDescent="0.3"/>
  </sheetData>
  <mergeCells count="3">
    <mergeCell ref="B1:H1"/>
    <mergeCell ref="G10:H10"/>
    <mergeCell ref="J29:K29"/>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442A1-C0CD-4898-8CB0-298DBE2E1A12}">
  <dimension ref="B1:K53"/>
  <sheetViews>
    <sheetView workbookViewId="0">
      <selection activeCell="H12" sqref="H12"/>
    </sheetView>
  </sheetViews>
  <sheetFormatPr baseColWidth="10" defaultColWidth="11.44140625" defaultRowHeight="15.6" x14ac:dyDescent="0.3"/>
  <cols>
    <col min="1" max="1" width="3.33203125" style="7" customWidth="1"/>
    <col min="2" max="3" width="25.6640625" style="7" customWidth="1"/>
    <col min="4" max="4" width="11.44140625" style="7"/>
    <col min="5" max="5" width="11.88671875" style="203" bestFit="1" customWidth="1"/>
    <col min="6" max="6" width="17.88671875" style="7" bestFit="1" customWidth="1"/>
    <col min="7" max="7" width="18.88671875" style="7" bestFit="1" customWidth="1"/>
    <col min="8" max="16384" width="11.44140625" style="7"/>
  </cols>
  <sheetData>
    <row r="1" spans="2:11" ht="20.25" customHeight="1" x14ac:dyDescent="0.3">
      <c r="B1" s="736" t="s">
        <v>343</v>
      </c>
      <c r="C1" s="736"/>
      <c r="D1" s="736"/>
      <c r="E1" s="736"/>
      <c r="F1" s="736"/>
      <c r="G1" s="736"/>
      <c r="H1" s="736"/>
    </row>
    <row r="2" spans="2:11" ht="14.25" customHeight="1" x14ac:dyDescent="0.3"/>
    <row r="3" spans="2:11" ht="14.25" customHeight="1" x14ac:dyDescent="0.3"/>
    <row r="5" spans="2:11" ht="14.25" customHeight="1" x14ac:dyDescent="0.3"/>
    <row r="6" spans="2:11" ht="14.25" customHeight="1" x14ac:dyDescent="0.3">
      <c r="B6" s="116" t="s">
        <v>337</v>
      </c>
      <c r="C6" s="116" t="s">
        <v>338</v>
      </c>
      <c r="D6" s="116" t="s">
        <v>28</v>
      </c>
      <c r="E6" s="116"/>
      <c r="J6" s="182"/>
      <c r="K6" s="205"/>
    </row>
    <row r="7" spans="2:11" ht="14.25" customHeight="1" x14ac:dyDescent="0.3">
      <c r="B7" s="206">
        <v>0</v>
      </c>
      <c r="C7" s="206">
        <v>1591</v>
      </c>
      <c r="D7" s="206">
        <v>0</v>
      </c>
      <c r="E7" s="207">
        <f t="shared" ref="E7:E26" si="0" xml:space="preserve"> IF($H$11&gt;=B7,IF($H$11&lt;C7,D7,0),0)</f>
        <v>0</v>
      </c>
    </row>
    <row r="8" spans="2:11" ht="14.25" customHeight="1" x14ac:dyDescent="0.3">
      <c r="B8" s="206">
        <f>C7</f>
        <v>1591</v>
      </c>
      <c r="C8" s="206">
        <v>1653</v>
      </c>
      <c r="D8" s="124">
        <v>5.0000000000000001E-3</v>
      </c>
      <c r="E8" s="124">
        <f t="shared" si="0"/>
        <v>0</v>
      </c>
    </row>
    <row r="9" spans="2:11" ht="14.25" customHeight="1" x14ac:dyDescent="0.3">
      <c r="B9" s="206">
        <f t="shared" ref="B9:B26" si="1">C8</f>
        <v>1653</v>
      </c>
      <c r="C9" s="206">
        <v>1759</v>
      </c>
      <c r="D9" s="124">
        <v>1.2999999999999999E-2</v>
      </c>
      <c r="E9" s="124">
        <f t="shared" si="0"/>
        <v>0</v>
      </c>
    </row>
    <row r="10" spans="2:11" ht="14.25" customHeight="1" x14ac:dyDescent="0.3">
      <c r="B10" s="206">
        <f t="shared" si="1"/>
        <v>1759</v>
      </c>
      <c r="C10" s="206">
        <v>1877</v>
      </c>
      <c r="D10" s="124">
        <v>2.1000000000000001E-2</v>
      </c>
      <c r="E10" s="124">
        <f t="shared" si="0"/>
        <v>0</v>
      </c>
      <c r="G10" s="735" t="s">
        <v>340</v>
      </c>
      <c r="H10" s="735"/>
    </row>
    <row r="11" spans="2:11" ht="14.25" customHeight="1" x14ac:dyDescent="0.3">
      <c r="B11" s="206">
        <f t="shared" si="1"/>
        <v>1877</v>
      </c>
      <c r="C11" s="206">
        <v>2006</v>
      </c>
      <c r="D11" s="124">
        <v>2.9000000000000001E-2</v>
      </c>
      <c r="E11" s="124">
        <f t="shared" si="0"/>
        <v>0</v>
      </c>
      <c r="G11" s="183" t="s">
        <v>341</v>
      </c>
      <c r="H11" s="208">
        <f>'BP CORRECTION  '!E83</f>
        <v>3266.1351429999995</v>
      </c>
    </row>
    <row r="12" spans="2:11" ht="14.25" customHeight="1" x14ac:dyDescent="0.3">
      <c r="B12" s="206">
        <f t="shared" si="1"/>
        <v>2006</v>
      </c>
      <c r="C12" s="206">
        <v>2113</v>
      </c>
      <c r="D12" s="124">
        <v>3.5000000000000003E-2</v>
      </c>
      <c r="E12" s="124">
        <f t="shared" si="0"/>
        <v>0</v>
      </c>
      <c r="G12" s="183" t="s">
        <v>25</v>
      </c>
      <c r="H12" s="209">
        <f>E27</f>
        <v>9.9000000000000005E-2</v>
      </c>
    </row>
    <row r="13" spans="2:11" ht="14.25" customHeight="1" x14ac:dyDescent="0.3">
      <c r="B13" s="206">
        <f t="shared" si="1"/>
        <v>2113</v>
      </c>
      <c r="C13" s="206">
        <v>2253</v>
      </c>
      <c r="D13" s="124">
        <v>4.1000000000000002E-2</v>
      </c>
      <c r="E13" s="124">
        <f t="shared" si="0"/>
        <v>0</v>
      </c>
    </row>
    <row r="14" spans="2:11" ht="14.25" customHeight="1" x14ac:dyDescent="0.3">
      <c r="B14" s="206">
        <f t="shared" si="1"/>
        <v>2253</v>
      </c>
      <c r="C14" s="206">
        <v>2666</v>
      </c>
      <c r="D14" s="124">
        <v>5.2999999999999999E-2</v>
      </c>
      <c r="E14" s="124">
        <f t="shared" si="0"/>
        <v>0</v>
      </c>
    </row>
    <row r="15" spans="2:11" ht="14.25" customHeight="1" x14ac:dyDescent="0.3">
      <c r="B15" s="206">
        <f t="shared" si="1"/>
        <v>2666</v>
      </c>
      <c r="C15" s="206">
        <v>3052</v>
      </c>
      <c r="D15" s="124">
        <v>7.4999999999999997E-2</v>
      </c>
      <c r="E15" s="124">
        <f t="shared" si="0"/>
        <v>0</v>
      </c>
    </row>
    <row r="16" spans="2:11" ht="14.25" customHeight="1" x14ac:dyDescent="0.3">
      <c r="B16" s="206">
        <f t="shared" si="1"/>
        <v>3052</v>
      </c>
      <c r="C16" s="206">
        <v>3476</v>
      </c>
      <c r="D16" s="124">
        <v>9.9000000000000005E-2</v>
      </c>
      <c r="E16" s="124">
        <f t="shared" si="0"/>
        <v>9.9000000000000005E-2</v>
      </c>
    </row>
    <row r="17" spans="2:11" ht="14.25" customHeight="1" x14ac:dyDescent="0.3">
      <c r="B17" s="206">
        <f t="shared" si="1"/>
        <v>3476</v>
      </c>
      <c r="C17" s="206">
        <v>3913</v>
      </c>
      <c r="D17" s="124">
        <v>0.11899999999999999</v>
      </c>
      <c r="E17" s="124">
        <f t="shared" si="0"/>
        <v>0</v>
      </c>
    </row>
    <row r="18" spans="2:11" ht="14.25" customHeight="1" x14ac:dyDescent="0.3">
      <c r="B18" s="206">
        <f t="shared" si="1"/>
        <v>3913</v>
      </c>
      <c r="C18" s="206">
        <v>4566</v>
      </c>
      <c r="D18" s="124">
        <v>0.13800000000000001</v>
      </c>
      <c r="E18" s="124">
        <f t="shared" si="0"/>
        <v>0</v>
      </c>
    </row>
    <row r="19" spans="2:11" ht="14.25" customHeight="1" x14ac:dyDescent="0.3">
      <c r="B19" s="206">
        <f t="shared" si="1"/>
        <v>4566</v>
      </c>
      <c r="C19" s="206">
        <v>5475</v>
      </c>
      <c r="D19" s="124">
        <v>0.158</v>
      </c>
      <c r="E19" s="124">
        <f t="shared" si="0"/>
        <v>0</v>
      </c>
    </row>
    <row r="20" spans="2:11" ht="14.25" customHeight="1" x14ac:dyDescent="0.3">
      <c r="B20" s="206">
        <f t="shared" si="1"/>
        <v>5475</v>
      </c>
      <c r="C20" s="206">
        <v>6851</v>
      </c>
      <c r="D20" s="124">
        <v>0.17899999999999999</v>
      </c>
      <c r="E20" s="124">
        <f t="shared" si="0"/>
        <v>0</v>
      </c>
    </row>
    <row r="21" spans="2:11" ht="14.25" customHeight="1" x14ac:dyDescent="0.3">
      <c r="B21" s="206">
        <f t="shared" si="1"/>
        <v>6851</v>
      </c>
      <c r="C21" s="206">
        <v>8557</v>
      </c>
      <c r="D21" s="124">
        <v>0.2</v>
      </c>
      <c r="E21" s="124">
        <f t="shared" si="0"/>
        <v>0</v>
      </c>
    </row>
    <row r="22" spans="2:11" ht="14.25" customHeight="1" x14ac:dyDescent="0.3">
      <c r="B22" s="206">
        <f t="shared" si="1"/>
        <v>8557</v>
      </c>
      <c r="C22" s="206">
        <v>11877</v>
      </c>
      <c r="D22" s="124">
        <v>0.24</v>
      </c>
      <c r="E22" s="124">
        <f t="shared" si="0"/>
        <v>0</v>
      </c>
    </row>
    <row r="23" spans="2:11" ht="14.25" customHeight="1" x14ac:dyDescent="0.3">
      <c r="B23" s="206">
        <f t="shared" si="1"/>
        <v>11877</v>
      </c>
      <c r="C23" s="206">
        <v>16086</v>
      </c>
      <c r="D23" s="124">
        <v>0.28000000000000003</v>
      </c>
      <c r="E23" s="124">
        <f t="shared" si="0"/>
        <v>0</v>
      </c>
    </row>
    <row r="24" spans="2:11" ht="14.25" customHeight="1" x14ac:dyDescent="0.3">
      <c r="B24" s="206">
        <f t="shared" si="1"/>
        <v>16086</v>
      </c>
      <c r="C24" s="206">
        <v>25251</v>
      </c>
      <c r="D24" s="124">
        <v>0.33</v>
      </c>
      <c r="E24" s="124">
        <f t="shared" si="0"/>
        <v>0</v>
      </c>
    </row>
    <row r="25" spans="2:11" ht="14.25" customHeight="1" x14ac:dyDescent="0.3">
      <c r="B25" s="206">
        <f t="shared" si="1"/>
        <v>25251</v>
      </c>
      <c r="C25" s="206">
        <v>54088</v>
      </c>
      <c r="D25" s="124">
        <v>0.38</v>
      </c>
      <c r="E25" s="124">
        <f t="shared" si="0"/>
        <v>0</v>
      </c>
    </row>
    <row r="26" spans="2:11" ht="14.25" customHeight="1" x14ac:dyDescent="0.3">
      <c r="B26" s="206">
        <f t="shared" si="1"/>
        <v>54088</v>
      </c>
      <c r="C26" s="206">
        <v>99999999999</v>
      </c>
      <c r="D26" s="124">
        <v>0.43</v>
      </c>
      <c r="E26" s="124">
        <f t="shared" si="0"/>
        <v>0</v>
      </c>
    </row>
    <row r="27" spans="2:11" ht="14.25" customHeight="1" x14ac:dyDescent="0.3">
      <c r="B27" s="182"/>
      <c r="E27" s="210">
        <f>SUM(E7:E26)</f>
        <v>9.9000000000000005E-2</v>
      </c>
    </row>
    <row r="28" spans="2:11" ht="18" customHeight="1" x14ac:dyDescent="0.3"/>
    <row r="29" spans="2:11" ht="14.25" hidden="1" customHeight="1" x14ac:dyDescent="0.3">
      <c r="J29" s="488"/>
      <c r="K29" s="488"/>
    </row>
    <row r="30" spans="2:11" ht="14.25" hidden="1" customHeight="1" x14ac:dyDescent="0.3">
      <c r="B30" s="116" t="s">
        <v>337</v>
      </c>
      <c r="C30" s="116" t="s">
        <v>338</v>
      </c>
      <c r="D30" s="116" t="s">
        <v>28</v>
      </c>
      <c r="E30" s="116"/>
      <c r="K30" s="211"/>
    </row>
    <row r="31" spans="2:11" ht="14.25" hidden="1" customHeight="1" x14ac:dyDescent="0.3">
      <c r="B31" s="212">
        <v>0</v>
      </c>
      <c r="C31" s="212">
        <v>1440</v>
      </c>
      <c r="D31" s="212">
        <v>0</v>
      </c>
      <c r="E31" s="213">
        <f t="shared" ref="E31:E50" si="2" xml:space="preserve"> IF($G$34&gt;=B31,IF($G$34&lt;C31,D31,0),0)</f>
        <v>0</v>
      </c>
      <c r="K31" s="214"/>
    </row>
    <row r="32" spans="2:11" ht="14.25" hidden="1" customHeight="1" x14ac:dyDescent="0.3">
      <c r="B32" s="212">
        <f>C31</f>
        <v>1440</v>
      </c>
      <c r="C32" s="212">
        <v>1496</v>
      </c>
      <c r="D32" s="215">
        <v>5.0000000000000001E-3</v>
      </c>
      <c r="E32" s="210">
        <f t="shared" si="2"/>
        <v>0</v>
      </c>
      <c r="F32" s="216"/>
    </row>
    <row r="33" spans="2:7" ht="14.25" hidden="1" customHeight="1" x14ac:dyDescent="0.3">
      <c r="B33" s="212">
        <f t="shared" ref="B33:B50" si="3">C32</f>
        <v>1496</v>
      </c>
      <c r="C33" s="212">
        <v>1592</v>
      </c>
      <c r="D33" s="215">
        <v>1.2999999999999999E-2</v>
      </c>
      <c r="E33" s="210">
        <f t="shared" si="2"/>
        <v>0</v>
      </c>
      <c r="F33" s="216"/>
      <c r="G33" s="183" t="s">
        <v>342</v>
      </c>
    </row>
    <row r="34" spans="2:7" ht="14.25" hidden="1" customHeight="1" x14ac:dyDescent="0.3">
      <c r="B34" s="212">
        <f t="shared" si="3"/>
        <v>1592</v>
      </c>
      <c r="C34" s="212">
        <v>1699</v>
      </c>
      <c r="D34" s="210">
        <v>2.1000000000000001E-2</v>
      </c>
      <c r="E34" s="210">
        <f t="shared" si="2"/>
        <v>0</v>
      </c>
      <c r="F34" s="216"/>
      <c r="G34" s="208"/>
    </row>
    <row r="35" spans="2:7" ht="14.25" hidden="1" customHeight="1" x14ac:dyDescent="0.3">
      <c r="B35" s="212">
        <f t="shared" si="3"/>
        <v>1699</v>
      </c>
      <c r="C35" s="212">
        <v>1816</v>
      </c>
      <c r="D35" s="210">
        <v>2.9000000000000001E-2</v>
      </c>
      <c r="E35" s="210">
        <f t="shared" si="2"/>
        <v>0</v>
      </c>
      <c r="F35" s="216"/>
      <c r="G35" s="209"/>
    </row>
    <row r="36" spans="2:7" ht="14.25" hidden="1" customHeight="1" x14ac:dyDescent="0.3">
      <c r="B36" s="212">
        <f t="shared" si="3"/>
        <v>1816</v>
      </c>
      <c r="C36" s="212">
        <v>1913</v>
      </c>
      <c r="D36" s="210">
        <v>3.5000000000000003E-2</v>
      </c>
      <c r="E36" s="210">
        <f t="shared" si="2"/>
        <v>0</v>
      </c>
      <c r="F36" s="216"/>
    </row>
    <row r="37" spans="2:7" ht="14.25" hidden="1" customHeight="1" x14ac:dyDescent="0.3">
      <c r="B37" s="212">
        <f t="shared" si="3"/>
        <v>1913</v>
      </c>
      <c r="C37" s="212">
        <v>2040</v>
      </c>
      <c r="D37" s="210">
        <v>4.1000000000000002E-2</v>
      </c>
      <c r="E37" s="210">
        <f t="shared" si="2"/>
        <v>0</v>
      </c>
      <c r="F37" s="216"/>
    </row>
    <row r="38" spans="2:7" ht="14.25" hidden="1" customHeight="1" x14ac:dyDescent="0.3">
      <c r="B38" s="212">
        <f t="shared" si="3"/>
        <v>2040</v>
      </c>
      <c r="C38" s="212">
        <v>2414</v>
      </c>
      <c r="D38" s="210">
        <v>5.2999999999999999E-2</v>
      </c>
      <c r="E38" s="210">
        <f t="shared" si="2"/>
        <v>0</v>
      </c>
      <c r="F38" s="216"/>
    </row>
    <row r="39" spans="2:7" ht="14.25" hidden="1" customHeight="1" x14ac:dyDescent="0.3">
      <c r="B39" s="212">
        <f t="shared" si="3"/>
        <v>2414</v>
      </c>
      <c r="C39" s="212">
        <v>2763</v>
      </c>
      <c r="D39" s="210">
        <v>7.4999999999999997E-2</v>
      </c>
      <c r="E39" s="210">
        <f t="shared" si="2"/>
        <v>0</v>
      </c>
      <c r="F39" s="216"/>
    </row>
    <row r="40" spans="2:7" ht="14.25" hidden="1" customHeight="1" x14ac:dyDescent="0.3">
      <c r="B40" s="212">
        <f t="shared" si="3"/>
        <v>2763</v>
      </c>
      <c r="C40" s="212">
        <v>3147</v>
      </c>
      <c r="D40" s="210">
        <v>9.9000000000000005E-2</v>
      </c>
      <c r="E40" s="210">
        <f t="shared" si="2"/>
        <v>0</v>
      </c>
      <c r="F40" s="216"/>
    </row>
    <row r="41" spans="2:7" ht="14.25" hidden="1" customHeight="1" x14ac:dyDescent="0.3">
      <c r="B41" s="212">
        <f t="shared" si="3"/>
        <v>3147</v>
      </c>
      <c r="C41" s="212">
        <v>3543</v>
      </c>
      <c r="D41" s="210">
        <v>0.11899999999999999</v>
      </c>
      <c r="E41" s="210">
        <f t="shared" si="2"/>
        <v>0</v>
      </c>
      <c r="F41" s="216"/>
    </row>
    <row r="42" spans="2:7" ht="14.25" hidden="1" customHeight="1" x14ac:dyDescent="0.3">
      <c r="B42" s="212">
        <f t="shared" si="3"/>
        <v>3543</v>
      </c>
      <c r="C42" s="212">
        <v>4134</v>
      </c>
      <c r="D42" s="210">
        <v>0.13800000000000001</v>
      </c>
      <c r="E42" s="210">
        <f t="shared" si="2"/>
        <v>0</v>
      </c>
      <c r="F42" s="216"/>
    </row>
    <row r="43" spans="2:7" ht="14.25" hidden="1" customHeight="1" x14ac:dyDescent="0.3">
      <c r="B43" s="212">
        <f t="shared" si="3"/>
        <v>4134</v>
      </c>
      <c r="C43" s="212">
        <v>4956</v>
      </c>
      <c r="D43" s="210">
        <v>0.158</v>
      </c>
      <c r="E43" s="210">
        <f t="shared" si="2"/>
        <v>0</v>
      </c>
      <c r="F43" s="216"/>
    </row>
    <row r="44" spans="2:7" ht="14.25" hidden="1" customHeight="1" x14ac:dyDescent="0.3">
      <c r="B44" s="212">
        <f t="shared" si="3"/>
        <v>4956</v>
      </c>
      <c r="C44" s="212">
        <v>6202</v>
      </c>
      <c r="D44" s="210">
        <v>0.17899999999999999</v>
      </c>
      <c r="E44" s="210">
        <f t="shared" si="2"/>
        <v>0</v>
      </c>
      <c r="F44" s="216"/>
    </row>
    <row r="45" spans="2:7" ht="14.25" hidden="1" customHeight="1" x14ac:dyDescent="0.3">
      <c r="B45" s="212">
        <f t="shared" si="3"/>
        <v>6202</v>
      </c>
      <c r="C45" s="212">
        <v>7747</v>
      </c>
      <c r="D45" s="210">
        <v>0.2</v>
      </c>
      <c r="E45" s="210">
        <f t="shared" si="2"/>
        <v>0</v>
      </c>
      <c r="F45" s="216"/>
    </row>
    <row r="46" spans="2:7" ht="14.25" hidden="1" customHeight="1" x14ac:dyDescent="0.3">
      <c r="B46" s="212">
        <f t="shared" si="3"/>
        <v>7747</v>
      </c>
      <c r="C46" s="212">
        <v>10752</v>
      </c>
      <c r="D46" s="210">
        <v>0.24</v>
      </c>
      <c r="E46" s="210">
        <f t="shared" si="2"/>
        <v>0</v>
      </c>
      <c r="F46" s="216"/>
    </row>
    <row r="47" spans="2:7" ht="14.25" hidden="1" customHeight="1" x14ac:dyDescent="0.3">
      <c r="B47" s="212">
        <f t="shared" si="3"/>
        <v>10752</v>
      </c>
      <c r="C47" s="212">
        <v>14563</v>
      </c>
      <c r="D47" s="210">
        <v>0.28000000000000003</v>
      </c>
      <c r="E47" s="210">
        <f t="shared" si="2"/>
        <v>0</v>
      </c>
      <c r="F47" s="216"/>
    </row>
    <row r="48" spans="2:7" ht="14.25" hidden="1" customHeight="1" x14ac:dyDescent="0.3">
      <c r="B48" s="212">
        <f t="shared" si="3"/>
        <v>14563</v>
      </c>
      <c r="C48" s="212">
        <v>22860</v>
      </c>
      <c r="D48" s="210">
        <v>0.33</v>
      </c>
      <c r="E48" s="210">
        <f t="shared" si="2"/>
        <v>0</v>
      </c>
      <c r="F48" s="216"/>
    </row>
    <row r="49" spans="2:6" ht="14.25" hidden="1" customHeight="1" x14ac:dyDescent="0.3">
      <c r="B49" s="212">
        <f t="shared" si="3"/>
        <v>22860</v>
      </c>
      <c r="C49" s="212">
        <v>48967</v>
      </c>
      <c r="D49" s="210">
        <v>0.38</v>
      </c>
      <c r="E49" s="210">
        <f t="shared" si="2"/>
        <v>0</v>
      </c>
      <c r="F49" s="216"/>
    </row>
    <row r="50" spans="2:6" ht="14.25" hidden="1" customHeight="1" x14ac:dyDescent="0.3">
      <c r="B50" s="212">
        <f t="shared" si="3"/>
        <v>48967</v>
      </c>
      <c r="C50" s="217">
        <v>99999999999</v>
      </c>
      <c r="D50" s="210">
        <v>0.43</v>
      </c>
      <c r="E50" s="210">
        <f t="shared" si="2"/>
        <v>0</v>
      </c>
      <c r="F50" s="216"/>
    </row>
    <row r="51" spans="2:6" ht="14.25" hidden="1" customHeight="1" x14ac:dyDescent="0.3">
      <c r="B51" s="182"/>
      <c r="E51" s="210">
        <f>SUM(E31:E50)</f>
        <v>0</v>
      </c>
      <c r="F51" s="218"/>
    </row>
    <row r="52" spans="2:6" ht="15" hidden="1" customHeight="1" x14ac:dyDescent="0.3"/>
    <row r="53" spans="2:6" ht="15" hidden="1" customHeight="1" x14ac:dyDescent="0.3"/>
  </sheetData>
  <mergeCells count="3">
    <mergeCell ref="B1:H1"/>
    <mergeCell ref="G10:H10"/>
    <mergeCell ref="J29:K29"/>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20907-96D4-4C15-BCB7-7BC99E5A2650}">
  <dimension ref="B1:K53"/>
  <sheetViews>
    <sheetView workbookViewId="0">
      <selection activeCell="H12" sqref="H12"/>
    </sheetView>
  </sheetViews>
  <sheetFormatPr baseColWidth="10" defaultColWidth="11.44140625" defaultRowHeight="15.6" x14ac:dyDescent="0.3"/>
  <cols>
    <col min="1" max="1" width="3.33203125" style="7" customWidth="1"/>
    <col min="2" max="3" width="23.21875" style="7" customWidth="1"/>
    <col min="4" max="4" width="11.44140625" style="7"/>
    <col min="5" max="5" width="11.88671875" style="203" bestFit="1" customWidth="1"/>
    <col min="6" max="6" width="17.88671875" style="7" bestFit="1" customWidth="1"/>
    <col min="7" max="7" width="18.88671875" style="7" bestFit="1" customWidth="1"/>
    <col min="8" max="16384" width="11.44140625" style="7"/>
  </cols>
  <sheetData>
    <row r="1" spans="2:11" ht="20.25" customHeight="1" x14ac:dyDescent="0.3">
      <c r="B1" s="736" t="s">
        <v>343</v>
      </c>
      <c r="C1" s="736"/>
      <c r="D1" s="736"/>
      <c r="E1" s="736"/>
      <c r="F1" s="736"/>
      <c r="G1" s="736"/>
      <c r="H1" s="736"/>
    </row>
    <row r="2" spans="2:11" ht="14.25" customHeight="1" x14ac:dyDescent="0.3"/>
    <row r="3" spans="2:11" ht="14.25" customHeight="1" x14ac:dyDescent="0.3"/>
    <row r="5" spans="2:11" ht="14.25" customHeight="1" x14ac:dyDescent="0.3"/>
    <row r="6" spans="2:11" ht="14.25" customHeight="1" x14ac:dyDescent="0.3">
      <c r="C6" s="116" t="s">
        <v>337</v>
      </c>
      <c r="D6" s="116" t="s">
        <v>28</v>
      </c>
      <c r="E6" s="116"/>
      <c r="J6" s="182"/>
      <c r="K6" s="205"/>
    </row>
    <row r="7" spans="2:11" ht="14.25" customHeight="1" x14ac:dyDescent="0.3">
      <c r="B7" s="219">
        <v>0</v>
      </c>
      <c r="C7" s="219">
        <v>1620</v>
      </c>
      <c r="D7" s="206">
        <v>0</v>
      </c>
      <c r="E7" s="207">
        <f t="shared" ref="E7:E26" si="0" xml:space="preserve"> IF($H$11&gt;=B7,IF($H$11&lt;C7,D7,0),0)</f>
        <v>0</v>
      </c>
    </row>
    <row r="8" spans="2:11" ht="14.25" customHeight="1" x14ac:dyDescent="0.3">
      <c r="B8" s="219">
        <f>C7</f>
        <v>1620</v>
      </c>
      <c r="C8" s="219">
        <v>1683</v>
      </c>
      <c r="D8" s="124">
        <v>5.0000000000000001E-3</v>
      </c>
      <c r="E8" s="124">
        <f t="shared" si="0"/>
        <v>0</v>
      </c>
    </row>
    <row r="9" spans="2:11" ht="14.25" customHeight="1" x14ac:dyDescent="0.3">
      <c r="B9" s="219">
        <f>C8</f>
        <v>1683</v>
      </c>
      <c r="C9" s="219">
        <v>1791</v>
      </c>
      <c r="D9" s="124">
        <v>1.2999999999999999E-2</v>
      </c>
      <c r="E9" s="124">
        <f t="shared" si="0"/>
        <v>0</v>
      </c>
    </row>
    <row r="10" spans="2:11" ht="14.25" customHeight="1" x14ac:dyDescent="0.3">
      <c r="B10" s="219">
        <f>C9</f>
        <v>1791</v>
      </c>
      <c r="C10" s="219">
        <v>1911</v>
      </c>
      <c r="D10" s="124">
        <v>2.1000000000000001E-2</v>
      </c>
      <c r="E10" s="124">
        <f t="shared" si="0"/>
        <v>0</v>
      </c>
      <c r="G10" s="737" t="s">
        <v>340</v>
      </c>
      <c r="H10" s="738"/>
    </row>
    <row r="11" spans="2:11" ht="14.25" customHeight="1" x14ac:dyDescent="0.3">
      <c r="B11" s="219">
        <f>C10</f>
        <v>1911</v>
      </c>
      <c r="C11" s="219">
        <v>2042</v>
      </c>
      <c r="D11" s="124">
        <v>2.9000000000000001E-2</v>
      </c>
      <c r="E11" s="124">
        <f t="shared" si="0"/>
        <v>0</v>
      </c>
      <c r="G11" s="183" t="s">
        <v>341</v>
      </c>
      <c r="H11" s="208">
        <f>'BP CORRECTION  '!E83</f>
        <v>3266.1351429999995</v>
      </c>
    </row>
    <row r="12" spans="2:11" ht="14.25" customHeight="1" x14ac:dyDescent="0.3">
      <c r="B12" s="219">
        <f>C11</f>
        <v>2042</v>
      </c>
      <c r="C12" s="219">
        <v>2151</v>
      </c>
      <c r="D12" s="124">
        <v>3.5000000000000003E-2</v>
      </c>
      <c r="E12" s="124">
        <f t="shared" si="0"/>
        <v>0</v>
      </c>
      <c r="G12" s="183" t="s">
        <v>25</v>
      </c>
      <c r="H12" s="209">
        <f>E27</f>
        <v>9.9000000000000005E-2</v>
      </c>
    </row>
    <row r="13" spans="2:11" ht="14.25" customHeight="1" x14ac:dyDescent="0.3">
      <c r="B13" s="219">
        <f t="shared" ref="B13:B24" si="1">C12</f>
        <v>2151</v>
      </c>
      <c r="C13" s="219">
        <v>2294</v>
      </c>
      <c r="D13" s="124">
        <v>4.1000000000000002E-2</v>
      </c>
      <c r="E13" s="124">
        <f t="shared" si="0"/>
        <v>0</v>
      </c>
    </row>
    <row r="14" spans="2:11" ht="14.25" customHeight="1" x14ac:dyDescent="0.3">
      <c r="B14" s="219">
        <f t="shared" si="1"/>
        <v>2294</v>
      </c>
      <c r="C14" s="219">
        <v>2714</v>
      </c>
      <c r="D14" s="124">
        <v>5.2999999999999999E-2</v>
      </c>
      <c r="E14" s="124">
        <f t="shared" si="0"/>
        <v>0</v>
      </c>
    </row>
    <row r="15" spans="2:11" ht="14.25" customHeight="1" x14ac:dyDescent="0.3">
      <c r="B15" s="219">
        <f t="shared" si="1"/>
        <v>2714</v>
      </c>
      <c r="C15" s="219">
        <v>3107</v>
      </c>
      <c r="D15" s="124">
        <v>7.4999999999999997E-2</v>
      </c>
      <c r="E15" s="124">
        <f t="shared" si="0"/>
        <v>0</v>
      </c>
    </row>
    <row r="16" spans="2:11" ht="14.25" customHeight="1" x14ac:dyDescent="0.3">
      <c r="B16" s="219">
        <f t="shared" si="1"/>
        <v>3107</v>
      </c>
      <c r="C16" s="219">
        <v>3539</v>
      </c>
      <c r="D16" s="124">
        <v>9.9000000000000005E-2</v>
      </c>
      <c r="E16" s="124">
        <f t="shared" si="0"/>
        <v>9.9000000000000005E-2</v>
      </c>
    </row>
    <row r="17" spans="2:11" ht="14.25" customHeight="1" x14ac:dyDescent="0.3">
      <c r="B17" s="219">
        <f t="shared" si="1"/>
        <v>3539</v>
      </c>
      <c r="C17" s="219">
        <v>3983</v>
      </c>
      <c r="D17" s="124">
        <v>0.11899999999999999</v>
      </c>
      <c r="E17" s="124">
        <f t="shared" si="0"/>
        <v>0</v>
      </c>
    </row>
    <row r="18" spans="2:11" ht="14.25" customHeight="1" x14ac:dyDescent="0.3">
      <c r="B18" s="219">
        <f t="shared" si="1"/>
        <v>3983</v>
      </c>
      <c r="C18" s="219">
        <v>4648</v>
      </c>
      <c r="D18" s="124">
        <v>0.13800000000000001</v>
      </c>
      <c r="E18" s="124">
        <f t="shared" si="0"/>
        <v>0</v>
      </c>
    </row>
    <row r="19" spans="2:11" ht="14.25" customHeight="1" x14ac:dyDescent="0.3">
      <c r="B19" s="219">
        <f t="shared" si="1"/>
        <v>4648</v>
      </c>
      <c r="C19" s="219">
        <v>5574</v>
      </c>
      <c r="D19" s="124">
        <v>0.158</v>
      </c>
      <c r="E19" s="124">
        <f t="shared" si="0"/>
        <v>0</v>
      </c>
    </row>
    <row r="20" spans="2:11" ht="14.25" customHeight="1" x14ac:dyDescent="0.3">
      <c r="B20" s="219">
        <f t="shared" si="1"/>
        <v>5574</v>
      </c>
      <c r="C20" s="219">
        <v>6974</v>
      </c>
      <c r="D20" s="124">
        <v>0.17899999999999999</v>
      </c>
      <c r="E20" s="124">
        <f t="shared" si="0"/>
        <v>0</v>
      </c>
    </row>
    <row r="21" spans="2:11" ht="14.25" customHeight="1" x14ac:dyDescent="0.3">
      <c r="B21" s="219">
        <f t="shared" si="1"/>
        <v>6974</v>
      </c>
      <c r="C21" s="219">
        <v>8711</v>
      </c>
      <c r="D21" s="124">
        <v>0.2</v>
      </c>
      <c r="E21" s="124">
        <f t="shared" si="0"/>
        <v>0</v>
      </c>
    </row>
    <row r="22" spans="2:11" ht="14.25" customHeight="1" x14ac:dyDescent="0.3">
      <c r="B22" s="219">
        <f t="shared" si="1"/>
        <v>8711</v>
      </c>
      <c r="C22" s="219">
        <v>12091</v>
      </c>
      <c r="D22" s="124">
        <v>0.24</v>
      </c>
      <c r="E22" s="124">
        <f t="shared" si="0"/>
        <v>0</v>
      </c>
    </row>
    <row r="23" spans="2:11" ht="14.25" customHeight="1" x14ac:dyDescent="0.3">
      <c r="B23" s="219">
        <f t="shared" si="1"/>
        <v>12091</v>
      </c>
      <c r="C23" s="219">
        <v>16376</v>
      </c>
      <c r="D23" s="124">
        <v>0.28000000000000003</v>
      </c>
      <c r="E23" s="124">
        <f t="shared" si="0"/>
        <v>0</v>
      </c>
    </row>
    <row r="24" spans="2:11" ht="14.25" customHeight="1" x14ac:dyDescent="0.3">
      <c r="B24" s="219">
        <f t="shared" si="1"/>
        <v>16376</v>
      </c>
      <c r="C24" s="219">
        <v>25706</v>
      </c>
      <c r="D24" s="124">
        <v>0.33</v>
      </c>
      <c r="E24" s="124">
        <f t="shared" si="0"/>
        <v>0</v>
      </c>
    </row>
    <row r="25" spans="2:11" ht="14.25" customHeight="1" x14ac:dyDescent="0.3">
      <c r="B25" s="219">
        <f>C24</f>
        <v>25706</v>
      </c>
      <c r="C25" s="219">
        <v>55062</v>
      </c>
      <c r="D25" s="124">
        <v>0.38</v>
      </c>
      <c r="E25" s="124">
        <f t="shared" si="0"/>
        <v>0</v>
      </c>
    </row>
    <row r="26" spans="2:11" ht="14.25" customHeight="1" x14ac:dyDescent="0.3">
      <c r="B26" s="219">
        <f>C25</f>
        <v>55062</v>
      </c>
      <c r="C26" s="219"/>
      <c r="D26" s="124">
        <v>0.43</v>
      </c>
      <c r="E26" s="124">
        <f t="shared" si="0"/>
        <v>0</v>
      </c>
    </row>
    <row r="27" spans="2:11" ht="14.25" customHeight="1" x14ac:dyDescent="0.3">
      <c r="B27" s="188"/>
      <c r="C27" s="188"/>
      <c r="E27" s="210">
        <f>SUM(E7:E26)</f>
        <v>9.9000000000000005E-2</v>
      </c>
    </row>
    <row r="28" spans="2:11" ht="18" customHeight="1" x14ac:dyDescent="0.3"/>
    <row r="29" spans="2:11" ht="14.25" hidden="1" customHeight="1" x14ac:dyDescent="0.3">
      <c r="B29" s="220" t="s">
        <v>344</v>
      </c>
      <c r="C29" s="220"/>
      <c r="J29" s="488"/>
      <c r="K29" s="488"/>
    </row>
    <row r="30" spans="2:11" ht="14.25" hidden="1" customHeight="1" x14ac:dyDescent="0.3">
      <c r="D30" s="116" t="s">
        <v>28</v>
      </c>
      <c r="E30" s="116"/>
      <c r="K30" s="211"/>
    </row>
    <row r="31" spans="2:11" ht="14.25" hidden="1" customHeight="1" x14ac:dyDescent="0.3">
      <c r="D31" s="212">
        <v>0</v>
      </c>
      <c r="E31" s="213">
        <f t="shared" ref="E31:E50" si="2" xml:space="preserve"> IF($G$34&gt;=B31,IF($G$34&lt;C31,D31,0),0)</f>
        <v>0</v>
      </c>
      <c r="K31" s="214"/>
    </row>
    <row r="32" spans="2:11" ht="14.25" hidden="1" customHeight="1" x14ac:dyDescent="0.3">
      <c r="D32" s="215">
        <v>5.0000000000000001E-3</v>
      </c>
      <c r="E32" s="210">
        <f t="shared" si="2"/>
        <v>0</v>
      </c>
      <c r="F32" s="216"/>
    </row>
    <row r="33" spans="4:7" ht="14.25" hidden="1" customHeight="1" x14ac:dyDescent="0.3">
      <c r="D33" s="215">
        <v>1.2999999999999999E-2</v>
      </c>
      <c r="E33" s="210">
        <f t="shared" si="2"/>
        <v>0</v>
      </c>
      <c r="F33" s="216"/>
      <c r="G33" s="183" t="s">
        <v>342</v>
      </c>
    </row>
    <row r="34" spans="4:7" ht="14.25" hidden="1" customHeight="1" x14ac:dyDescent="0.3">
      <c r="D34" s="210">
        <v>2.1000000000000001E-2</v>
      </c>
      <c r="E34" s="210">
        <f t="shared" si="2"/>
        <v>0</v>
      </c>
      <c r="F34" s="216"/>
      <c r="G34" s="208"/>
    </row>
    <row r="35" spans="4:7" ht="14.25" hidden="1" customHeight="1" x14ac:dyDescent="0.3">
      <c r="D35" s="210">
        <v>2.9000000000000001E-2</v>
      </c>
      <c r="E35" s="210">
        <f t="shared" si="2"/>
        <v>0</v>
      </c>
      <c r="F35" s="216"/>
      <c r="G35" s="209"/>
    </row>
    <row r="36" spans="4:7" ht="14.25" hidden="1" customHeight="1" x14ac:dyDescent="0.3">
      <c r="D36" s="210">
        <v>3.5000000000000003E-2</v>
      </c>
      <c r="E36" s="210">
        <f t="shared" si="2"/>
        <v>0</v>
      </c>
      <c r="F36" s="216"/>
    </row>
    <row r="37" spans="4:7" ht="14.25" hidden="1" customHeight="1" x14ac:dyDescent="0.3">
      <c r="D37" s="210">
        <v>4.1000000000000002E-2</v>
      </c>
      <c r="E37" s="210">
        <f t="shared" si="2"/>
        <v>0</v>
      </c>
      <c r="F37" s="216"/>
    </row>
    <row r="38" spans="4:7" ht="14.25" hidden="1" customHeight="1" x14ac:dyDescent="0.3">
      <c r="D38" s="210">
        <v>5.2999999999999999E-2</v>
      </c>
      <c r="E38" s="210">
        <f t="shared" si="2"/>
        <v>0</v>
      </c>
      <c r="F38" s="216"/>
    </row>
    <row r="39" spans="4:7" ht="14.25" hidden="1" customHeight="1" x14ac:dyDescent="0.3">
      <c r="D39" s="210">
        <v>7.4999999999999997E-2</v>
      </c>
      <c r="E39" s="210">
        <f t="shared" si="2"/>
        <v>0</v>
      </c>
      <c r="F39" s="216"/>
    </row>
    <row r="40" spans="4:7" ht="14.25" hidden="1" customHeight="1" x14ac:dyDescent="0.3">
      <c r="D40" s="210">
        <v>9.9000000000000005E-2</v>
      </c>
      <c r="E40" s="210">
        <f t="shared" si="2"/>
        <v>0</v>
      </c>
      <c r="F40" s="216"/>
    </row>
    <row r="41" spans="4:7" ht="14.25" hidden="1" customHeight="1" x14ac:dyDescent="0.3">
      <c r="D41" s="210">
        <v>0.11899999999999999</v>
      </c>
      <c r="E41" s="210">
        <f t="shared" si="2"/>
        <v>0</v>
      </c>
      <c r="F41" s="216"/>
    </row>
    <row r="42" spans="4:7" ht="14.25" hidden="1" customHeight="1" x14ac:dyDescent="0.3">
      <c r="D42" s="210">
        <v>0.13800000000000001</v>
      </c>
      <c r="E42" s="210">
        <f t="shared" si="2"/>
        <v>0</v>
      </c>
      <c r="F42" s="216"/>
    </row>
    <row r="43" spans="4:7" ht="14.25" hidden="1" customHeight="1" x14ac:dyDescent="0.3">
      <c r="D43" s="210">
        <v>0.158</v>
      </c>
      <c r="E43" s="210">
        <f t="shared" si="2"/>
        <v>0</v>
      </c>
      <c r="F43" s="216"/>
    </row>
    <row r="44" spans="4:7" ht="14.25" hidden="1" customHeight="1" x14ac:dyDescent="0.3">
      <c r="D44" s="210">
        <v>0.17899999999999999</v>
      </c>
      <c r="E44" s="210">
        <f t="shared" si="2"/>
        <v>0</v>
      </c>
      <c r="F44" s="216"/>
    </row>
    <row r="45" spans="4:7" ht="14.25" hidden="1" customHeight="1" x14ac:dyDescent="0.3">
      <c r="D45" s="210">
        <v>0.2</v>
      </c>
      <c r="E45" s="210">
        <f t="shared" si="2"/>
        <v>0</v>
      </c>
      <c r="F45" s="216"/>
    </row>
    <row r="46" spans="4:7" ht="14.25" hidden="1" customHeight="1" x14ac:dyDescent="0.3">
      <c r="D46" s="210">
        <v>0.24</v>
      </c>
      <c r="E46" s="210">
        <f t="shared" si="2"/>
        <v>0</v>
      </c>
      <c r="F46" s="216"/>
    </row>
    <row r="47" spans="4:7" ht="14.25" hidden="1" customHeight="1" x14ac:dyDescent="0.3">
      <c r="D47" s="210">
        <v>0.28000000000000003</v>
      </c>
      <c r="E47" s="210">
        <f t="shared" si="2"/>
        <v>0</v>
      </c>
      <c r="F47" s="216"/>
    </row>
    <row r="48" spans="4:7" ht="14.25" hidden="1" customHeight="1" x14ac:dyDescent="0.3">
      <c r="D48" s="210">
        <v>0.33</v>
      </c>
      <c r="E48" s="210">
        <f t="shared" si="2"/>
        <v>0</v>
      </c>
      <c r="F48" s="216"/>
    </row>
    <row r="49" spans="4:6" ht="14.25" hidden="1" customHeight="1" x14ac:dyDescent="0.3">
      <c r="D49" s="210">
        <v>0.38</v>
      </c>
      <c r="E49" s="210">
        <f t="shared" si="2"/>
        <v>0</v>
      </c>
      <c r="F49" s="216"/>
    </row>
    <row r="50" spans="4:6" ht="14.25" hidden="1" customHeight="1" x14ac:dyDescent="0.3">
      <c r="D50" s="210">
        <v>0.43</v>
      </c>
      <c r="E50" s="210">
        <f t="shared" si="2"/>
        <v>0</v>
      </c>
      <c r="F50" s="216"/>
    </row>
    <row r="51" spans="4:6" ht="14.25" hidden="1" customHeight="1" x14ac:dyDescent="0.3">
      <c r="E51" s="210">
        <f>SUM(E31:E50)</f>
        <v>0</v>
      </c>
      <c r="F51" s="218"/>
    </row>
    <row r="52" spans="4:6" ht="15" hidden="1" customHeight="1" x14ac:dyDescent="0.3"/>
    <row r="53" spans="4:6" ht="15" hidden="1" customHeight="1" x14ac:dyDescent="0.3"/>
  </sheetData>
  <mergeCells count="3">
    <mergeCell ref="B1:H1"/>
    <mergeCell ref="G10:H10"/>
    <mergeCell ref="J29:K29"/>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PRESENTATION DU CLASSEUR </vt:lpstr>
      <vt:lpstr>MASQUE DE SAISIE </vt:lpstr>
      <vt:lpstr>TABLE DES TAUX 2025</vt:lpstr>
      <vt:lpstr> ENONCE ET CORRIGE </vt:lpstr>
      <vt:lpstr>BP CORRECTION  </vt:lpstr>
      <vt:lpstr>JUSTIFICATION DES BASES </vt:lpstr>
      <vt:lpstr>TAUX NEUTRE </vt:lpstr>
      <vt:lpstr>TAUX NEUTRE  JANVIER </vt:lpstr>
      <vt:lpstr>TAUX NEUTRE MAI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LE CHEVANTON</dc:creator>
  <cp:lastModifiedBy>jacques LE CHEVANTON</cp:lastModifiedBy>
  <cp:lastPrinted>2025-10-04T07:58:51Z</cp:lastPrinted>
  <dcterms:created xsi:type="dcterms:W3CDTF">2025-07-25T09:38:04Z</dcterms:created>
  <dcterms:modified xsi:type="dcterms:W3CDTF">2025-10-25T10:53:27Z</dcterms:modified>
</cp:coreProperties>
</file>